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https://d.docs.live.net/05d344f8a1af185d/Skrivebord/"/>
    </mc:Choice>
  </mc:AlternateContent>
  <xr:revisionPtr revIDLastSave="38" documentId="8_{2A3E0597-A26F-4116-BF78-F1B2F76BA3BB}" xr6:coauthVersionLast="47" xr6:coauthVersionMax="47" xr10:uidLastSave="{6580D372-D9A3-47AB-9B7C-6F6CA2B3DBEB}"/>
  <bookViews>
    <workbookView xWindow="390" yWindow="165" windowWidth="28410" windowHeight="14505" activeTab="1" xr2:uid="{00000000-000D-0000-FFFF-FFFF00000000}"/>
  </bookViews>
  <sheets>
    <sheet name="Resultater" sheetId="13" r:id="rId1"/>
    <sheet name="Prisberegner" sheetId="2" r:id="rId2"/>
    <sheet name="Oplysninger" sheetId="11"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28" i="2" l="1"/>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H120" i="2" l="1"/>
  <c r="H56" i="13"/>
  <c r="H121" i="2"/>
  <c r="E180" i="2" l="1"/>
  <c r="E175" i="2"/>
  <c r="I16" i="14" a="1"/>
  <c r="I30" i="14" a="1"/>
  <c r="I16" i="14" l="1"/>
  <c r="I30" i="14"/>
  <c r="E153" i="2"/>
  <c r="E148" i="2"/>
  <c r="E53" i="2" l="1"/>
  <c r="E26" i="2" l="1"/>
  <c r="E31" i="2" s="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7" i="14" a="1"/>
  <c r="I18" i="14" a="1"/>
  <c r="I18" i="14" l="1"/>
  <c r="I17" i="14"/>
  <c r="E119" i="2"/>
  <c r="E120" i="2"/>
  <c r="H57" i="13" s="1"/>
  <c r="E121" i="2"/>
  <c r="E176" i="2"/>
  <c r="C10" i="14"/>
  <c r="C8" i="14"/>
  <c r="C11" i="14"/>
  <c r="E55" i="2"/>
  <c r="C7" i="14"/>
  <c r="C9" i="14"/>
  <c r="E149" i="2"/>
  <c r="E154" i="2"/>
  <c r="I21" i="14" l="1"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F58" i="14"/>
  <c r="F61" i="14" s="1"/>
  <c r="I31" i="14" a="1"/>
  <c r="I32" i="14" a="1"/>
  <c r="I31" i="14" l="1"/>
  <c r="I32" i="14"/>
  <c r="I21" i="14"/>
  <c r="E107" i="2" s="1"/>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I35" i="14" l="1"/>
  <c r="E113" i="2" s="1"/>
  <c r="I28" i="14"/>
  <c r="I34" i="14" s="1"/>
  <c r="E112" i="2" s="1"/>
  <c r="G7" i="14"/>
  <c r="I20" i="14"/>
  <c r="D48" i="13" l="1"/>
  <c r="G32" i="14" l="1"/>
  <c r="G23" i="14"/>
  <c r="G24" i="14"/>
  <c r="G25" i="14"/>
  <c r="H49" i="13"/>
  <c r="G28" i="14"/>
  <c r="G22" i="14"/>
  <c r="G30" i="14"/>
  <c r="G31" i="14"/>
  <c r="H48" i="13"/>
  <c r="G27" i="14"/>
  <c r="G29" i="14"/>
  <c r="D58" i="14" l="1"/>
  <c r="D61" i="14" s="1"/>
  <c r="J38" i="14"/>
  <c r="C116" i="2" s="1"/>
  <c r="D52" i="13" s="1"/>
  <c r="I38" i="14"/>
  <c r="E116" i="2" s="1"/>
  <c r="H52" i="13" s="1"/>
  <c r="J37" i="14"/>
  <c r="C115" i="2" s="1"/>
  <c r="D51" i="13" s="1"/>
  <c r="I37" i="14"/>
  <c r="E115" i="2" s="1"/>
  <c r="H51" i="13" s="1"/>
  <c r="J36" i="14"/>
  <c r="C114" i="2" s="1"/>
  <c r="D50" i="13" s="1"/>
  <c r="I36" i="14"/>
  <c r="E114" i="2" s="1"/>
  <c r="H50" i="13" s="1"/>
  <c r="J35" i="14"/>
  <c r="C113" i="2" s="1"/>
  <c r="D49" i="13" s="1"/>
  <c r="J23" i="14"/>
  <c r="C109" i="2" s="1"/>
  <c r="I23" i="14"/>
  <c r="E109" i="2" s="1"/>
  <c r="J22" i="14"/>
  <c r="C108" i="2" s="1"/>
  <c r="I22" i="14"/>
  <c r="E108" i="2" s="1"/>
  <c r="J21" i="14"/>
  <c r="C107" i="2" s="1"/>
</calcChain>
</file>

<file path=xl/metadata.xml><?xml version="1.0" encoding="utf-8"?>
<metadata xmlns="http://schemas.openxmlformats.org/spreadsheetml/2006/main" xmlns:xlrd="http://schemas.microsoft.com/office/spreadsheetml/2017/richdata">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<sst xmlns="http://schemas.openxmlformats.org/spreadsheetml/2006/main" count="432" uniqueCount="301">
  <si>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</si>
  <si>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</si>
  <si>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</si>
  <si>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</si>
  <si>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</si>
  <si>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</si>
  <si>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</si>
  <si>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</si>
  <si>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</si>
  <si>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</si>
  <si>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</si>
  <si>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</si>
  <si>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</si>
  <si>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</si>
  <si>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</si>
  <si>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</si>
  <si>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</si>
  <si>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</si>
  <si>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</si>
  <si>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</si>
  <si>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</si>
  <si>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</si>
  <si>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</si>
  <si>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</si>
  <si>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</si>
  <si>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</si>
  <si>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</si>
  <si>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</si>
  <si>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</si>
  <si>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</si>
  <si>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</si>
  <si>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</si>
  <si>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</si>
  <si>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</si>
  <si>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</si>
  <si>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</si>
  <si>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</si>
  <si>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</si>
  <si>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</si>
  <si>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</si>
  <si>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</si>
  <si>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</si>
  <si>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</si>
  <si>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</si>
  <si>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</si>
  <si>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</si>
  <si>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</si>
  <si>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</si>
  <si>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</si>
  <si>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</si>
  <si>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</si>
  <si>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</si>
  <si>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</si>
  <si>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</si>
  <si>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</si>
  <si>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</si>
  <si>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</si>
  <si>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</si>
  <si>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</si>
  <si>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</si>
  <si>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</si>
  <si>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</si>
  <si>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</si>
  <si>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</si>
  <si>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</si>
  <si>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2021 og frem</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</si>
  <si>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</si>
  <si>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</si>
  <si>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</si>
  <si>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</si>
  <si>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</si>
  <si>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</si>
  <si>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</si>
  <si>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</si>
  <si>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</si>
  <si>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</si>
  <si>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</si>
  <si>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</si>
  <si>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</si>
  <si>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</si>
  <si>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</si>
  <si>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</si>
  <si>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</si>
  <si>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</si>
  <si>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</si>
  <si>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</si>
  <si>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</si>
  <si>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</si>
  <si>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</si>
  <si>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"Fjernvarmeselskabets navn"</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</si>
  <si>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</si>
  <si>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</si>
  <si>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</si>
  <si>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</si>
  <si>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</si>
  <si>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</si>
  <si>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</si>
  <si>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</si>
  <si>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</si>
  <si>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</si>
  <si>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Denne skal derfor reduceres fra 90 øre/kWh til ovennævnte, ved forbrug over 4000 kWh.</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</si>
  <si>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</si>
  <si>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</si>
  <si>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</si>
  <si>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</si>
  <si>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</si>
  <si>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</si>
  <si>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</si>
  <si>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</si>
  <si>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</si>
  <si>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</si>
  <si>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</si>
  <si>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</si>
  <si>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</si>
  <si>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</si>
  <si>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</si>
  <si>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</si>
  <si>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</si>
  <si>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</si>
  <si>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</si>
  <si>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</si>
  <si>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</si>
  <si>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</si>
  <si>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</si>
  <si>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</si>
  <si>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</si>
  <si>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</si>
  <si>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</si>
  <si>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</si>
  <si>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</si>
  <si>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</si>
  <si>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</si>
  <si>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</si>
  <si>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</si>
  <si>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</si>
  <si>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</si>
  <si>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</si>
  <si>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</si>
  <si>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</si>
  <si>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</si>
  <si>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</si>
  <si>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</si>
  <si>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</si>
  <si>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</si>
  <si>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</si>
  <si>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</si>
  <si>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</si>
  <si>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</si>
  <si>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</si>
  <si>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</si>
  <si>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</si>
  <si>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</si>
  <si>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</si>
  <si>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</si>
  <si>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</si>
  <si>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</si>
  <si>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</si>
  <si>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</si>
  <si>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</si>
  <si>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</si>
  <si>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</si>
  <si>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</si>
  <si>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</si>
  <si>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</si>
  <si>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</si>
  <si>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</si>
  <si>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</si>
  <si>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</si>
  <si>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</si>
  <si>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</si>
  <si>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</si>
  <si>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</si>
  <si>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</si>
  <si>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</si>
  <si>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</si>
  <si>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</si>
  <si>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</si>
  <si>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</si>
  <si>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</si>
  <si>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</si>
  <si>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</si>
  <si>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</si>
  <si>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</si>
  <si>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</si>
  <si>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</si>
  <si>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</si>
  <si>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</si>
  <si>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</si>
  <si>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</si>
  <si>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</si>
  <si>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</si>
  <si>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</si>
  <si>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</si>
  <si>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</si>
  <si>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</si>
  <si>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</si>
  <si>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</si>
  <si>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</si>
  <si>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</si>
  <si>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</si>
  <si>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</si>
  <si>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</si>
  <si>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</si>
  <si>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</si>
  <si>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</si>
  <si>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</si>
  <si>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</si>
  <si>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</si>
  <si>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</si>
  <si>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</si>
  <si>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t>Fradraget for håndværksydelser hæves i 2021 til 25.000 kr. pr. person over 18 år i husstanden.</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</si>
  <si>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</si>
  <si>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</si>
  <si>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</si>
  <si>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</si>
  <si>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</si>
  <si>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</si>
  <si>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</si>
  <si>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</si>
  <si>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</si>
  <si>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</si>
  <si>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</si>
  <si>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</si>
  <si>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</si>
  <si>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</si>
  <si>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</si>
  <si>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</si>
  <si>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</si>
  <si>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</si>
  <si>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</si>
  <si>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</si>
  <si>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</si>
  <si>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</si>
  <si>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</si>
  <si>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</si>
  <si>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</si>
  <si>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</si>
  <si>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</si>
  <si>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</si>
  <si>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</si>
  <si>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</si>
  <si>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</si>
  <si>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</si>
  <si>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</si>
  <si>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</si>
  <si>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</si>
  <si>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</si>
  <si>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</si>
  <si>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</si>
  <si>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</si>
  <si>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</si>
  <si>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</si>
  <si>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</si>
  <si>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</si>
  <si>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</si>
  <si>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</si>
  <si>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</si>
  <si>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</si>
  <si>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</si>
  <si>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</si>
  <si>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</si>
  <si>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</si>
  <si>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</si>
  <si>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</si>
  <si>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</si>
  <si>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</si>
  <si>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</si>
  <si>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</si>
  <si>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</si>
  <si>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</si>
  <si>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</si>
  <si>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</si>
  <si>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</si>
  <si>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</si>
  <si>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</si>
  <si>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</si>
  <si>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</si>
  <si>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</si>
  <si>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</si>
  <si>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</si>
  <si>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</si>
  <si>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</si>
  <si>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</si>
  <si>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</si>
  <si>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</si>
  <si>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</si>
  <si>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</si>
  <si>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</si>
  <si>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</si>
  <si>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</si>
  <si>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</si>
  <si>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</si>
  <si>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</si>
  <si>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</si>
  <si>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</si>
  <si>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</si>
  <si>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</si>
  <si>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</si>
  <si>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</si>
  <si>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 xml:space="preserve">For spørgsmål eller input til beregneren kontakt Uffe Hjortshøj, ush@danskfjernvarme.dk. </t>
  </si>
  <si>
    <t>Herunder findes nogle standardforudsætninger, som kan anvendes i prisberegneren (senest opdateret 04-10-2021)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</si>
</sst>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30">
    <xf numFmtId="0" fontId="0" fillId="0" borderId="0" xfId="0"/>
    <xf numFmtId="0" fontId="4" fillId="3" borderId="0" xfId="0" applyFont="1" applyFill="1" applyAlignment="1" applyProtection="1">
      <alignment vertical="center"/>
    </xf>
    <xf numFmtId="0" fontId="4" fillId="3" borderId="2" xfId="0" applyFont="1" applyFill="1" applyBorder="1" applyAlignment="1" applyProtection="1">
      <alignment vertical="center"/>
    </xf>
    <xf numFmtId="0" fontId="4" fillId="3" borderId="3" xfId="0" applyFont="1" applyFill="1" applyBorder="1" applyAlignment="1" applyProtection="1">
      <alignment vertical="center"/>
    </xf>
    <xf numFmtId="0" fontId="5" fillId="3" borderId="4" xfId="0" applyFont="1" applyFill="1" applyBorder="1" applyAlignment="1" applyProtection="1">
      <alignment vertical="center"/>
    </xf>
    <xf numFmtId="0" fontId="4" fillId="0" borderId="0" xfId="0" applyFont="1" applyFill="1" applyAlignment="1" applyProtection="1">
      <alignment vertical="center"/>
    </xf>
    <xf numFmtId="0" fontId="4" fillId="0" borderId="0" xfId="0" applyFont="1" applyAlignment="1" applyProtection="1">
      <alignment vertical="center"/>
    </xf>
    <xf numFmtId="0" fontId="4" fillId="3" borderId="11" xfId="0" applyFont="1" applyFill="1" applyBorder="1" applyAlignment="1" applyProtection="1">
      <alignment vertical="center"/>
    </xf>
    <xf numFmtId="49" fontId="4" fillId="3" borderId="6" xfId="0" applyNumberFormat="1" applyFont="1" applyFill="1" applyBorder="1" applyAlignment="1" applyProtection="1">
      <alignment vertical="center"/>
    </xf>
    <xf numFmtId="0" fontId="5" fillId="3" borderId="0" xfId="0" applyFont="1" applyFill="1" applyBorder="1" applyAlignment="1" applyProtection="1">
      <alignment vertical="center"/>
    </xf>
    <xf numFmtId="0" fontId="4" fillId="3" borderId="0" xfId="0" applyFont="1" applyFill="1" applyBorder="1" applyAlignment="1" applyProtection="1">
      <alignment vertical="center"/>
    </xf>
    <xf numFmtId="0" fontId="4" fillId="3" borderId="6" xfId="0" applyFont="1" applyFill="1" applyBorder="1" applyAlignment="1" applyProtection="1">
      <alignment vertical="center"/>
    </xf>
    <xf numFmtId="0" fontId="5" fillId="3" borderId="0" xfId="0" applyFont="1" applyFill="1" applyBorder="1" applyAlignment="1" applyProtection="1">
      <alignment horizontal="left" vertical="center"/>
    </xf>
    <xf numFmtId="0" fontId="6" fillId="3" borderId="0" xfId="0" applyFont="1" applyFill="1" applyBorder="1" applyAlignment="1" applyProtection="1">
      <alignment vertical="center"/>
    </xf>
    <xf numFmtId="0" fontId="4" fillId="3" borderId="5" xfId="0" applyFont="1" applyFill="1" applyBorder="1" applyAlignment="1" applyProtection="1">
      <alignment vertical="center"/>
    </xf>
    <xf numFmtId="0" fontId="4" fillId="3" borderId="0" xfId="0" applyFont="1" applyFill="1" applyBorder="1" applyAlignment="1" applyProtection="1">
      <alignment vertical="center"/>
      <protection locked="0"/>
    </xf>
    <xf numFmtId="0" fontId="4" fillId="3" borderId="10" xfId="0" applyFont="1" applyFill="1" applyBorder="1" applyAlignment="1" applyProtection="1">
      <alignment vertical="center"/>
    </xf>
    <xf numFmtId="0" fontId="4" fillId="3" borderId="1" xfId="0" applyFont="1" applyFill="1" applyBorder="1" applyAlignment="1" applyProtection="1">
      <alignment vertical="center"/>
    </xf>
    <xf numFmtId="0" fontId="6" fillId="3" borderId="1" xfId="0" applyFont="1" applyFill="1" applyBorder="1" applyAlignment="1" applyProtection="1">
      <alignment vertical="center"/>
    </xf>
    <xf numFmtId="3" fontId="4" fillId="2" borderId="0" xfId="0" applyNumberFormat="1" applyFont="1" applyFill="1" applyBorder="1" applyAlignment="1" applyProtection="1">
      <alignment vertical="center"/>
      <protection locked="0"/>
    </xf>
    <xf numFmtId="0" fontId="4" fillId="2" borderId="0" xfId="0" applyFont="1" applyFill="1" applyBorder="1" applyAlignment="1" applyProtection="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Border="1" applyAlignment="1" applyProtection="1">
      <alignment vertical="center"/>
    </xf>
    <xf numFmtId="0" fontId="7" fillId="3" borderId="0" xfId="0" applyFont="1" applyFill="1" applyBorder="1" applyAlignment="1" applyProtection="1">
      <alignment vertical="center"/>
    </xf>
    <xf numFmtId="0" fontId="4" fillId="3" borderId="0" xfId="0" applyFont="1" applyFill="1" applyBorder="1" applyAlignment="1" applyProtection="1">
      <alignment horizontal="left" vertical="center"/>
    </xf>
    <xf numFmtId="3" fontId="4" fillId="3" borderId="1"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0" fontId="4" fillId="0" borderId="0" xfId="0" applyFont="1" applyBorder="1" applyAlignment="1" applyProtection="1">
      <alignment vertical="center"/>
    </xf>
    <xf numFmtId="0" fontId="8" fillId="3" borderId="0" xfId="0" applyFont="1" applyFill="1" applyBorder="1" applyAlignment="1" applyProtection="1">
      <alignment vertical="center"/>
    </xf>
    <xf numFmtId="3" fontId="4" fillId="3" borderId="0" xfId="0" applyNumberFormat="1" applyFont="1" applyFill="1" applyBorder="1" applyAlignment="1" applyProtection="1">
      <alignment horizontal="right" vertical="center"/>
    </xf>
    <xf numFmtId="0" fontId="5" fillId="3" borderId="6" xfId="0" applyFont="1" applyFill="1" applyBorder="1" applyAlignment="1">
      <alignment vertical="center" wrapText="1"/>
    </xf>
    <xf numFmtId="0" fontId="5" fillId="3" borderId="0" xfId="0" applyFont="1" applyFill="1" applyBorder="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Border="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applyBorder="1"/>
    <xf numFmtId="0" fontId="4" fillId="4" borderId="0" xfId="0" applyFont="1" applyFill="1" applyBorder="1" applyAlignment="1" applyProtection="1">
      <alignment vertical="center"/>
    </xf>
    <xf numFmtId="3" fontId="4" fillId="4" borderId="0" xfId="0" applyNumberFormat="1" applyFont="1" applyFill="1" applyBorder="1" applyAlignment="1" applyProtection="1">
      <alignment vertical="center"/>
    </xf>
    <xf numFmtId="0" fontId="4" fillId="3" borderId="7" xfId="0" applyFont="1" applyFill="1" applyBorder="1" applyAlignment="1" applyProtection="1">
      <alignment vertical="center"/>
    </xf>
    <xf numFmtId="0" fontId="4" fillId="3" borderId="8" xfId="0" applyFont="1" applyFill="1" applyBorder="1" applyAlignment="1" applyProtection="1">
      <alignment vertical="center"/>
    </xf>
    <xf numFmtId="3" fontId="4" fillId="3" borderId="8" xfId="0" applyNumberFormat="1" applyFont="1" applyFill="1" applyBorder="1" applyAlignment="1" applyProtection="1">
      <alignment vertical="center"/>
    </xf>
    <xf numFmtId="0" fontId="4" fillId="3" borderId="9" xfId="0" applyFont="1" applyFill="1" applyBorder="1" applyAlignment="1" applyProtection="1">
      <alignment vertical="center"/>
    </xf>
    <xf numFmtId="165" fontId="4" fillId="2" borderId="0" xfId="0" applyNumberFormat="1" applyFont="1" applyFill="1" applyBorder="1" applyAlignment="1" applyProtection="1">
      <alignment vertical="center"/>
    </xf>
    <xf numFmtId="4" fontId="4" fillId="2" borderId="0" xfId="0" applyNumberFormat="1" applyFont="1" applyFill="1" applyBorder="1" applyAlignment="1" applyProtection="1">
      <alignment vertical="center"/>
    </xf>
    <xf numFmtId="4" fontId="4" fillId="2" borderId="0" xfId="0" applyNumberFormat="1" applyFont="1" applyFill="1" applyBorder="1" applyAlignment="1" applyProtection="1">
      <alignment horizontal="right" vertical="center"/>
    </xf>
    <xf numFmtId="0" fontId="6" fillId="3" borderId="8" xfId="0" applyFont="1" applyFill="1" applyBorder="1" applyAlignment="1" applyProtection="1">
      <alignment vertical="center"/>
    </xf>
    <xf numFmtId="49" fontId="4" fillId="3" borderId="11" xfId="0" applyNumberFormat="1" applyFont="1" applyFill="1" applyBorder="1" applyAlignment="1" applyProtection="1">
      <alignment vertical="center"/>
    </xf>
    <xf numFmtId="0" fontId="10" fillId="3" borderId="0" xfId="0" applyFont="1" applyFill="1" applyBorder="1" applyAlignment="1" applyProtection="1">
      <alignment vertical="center"/>
    </xf>
    <xf numFmtId="0" fontId="4" fillId="3" borderId="4" xfId="0" applyNumberFormat="1" applyFont="1" applyFill="1" applyBorder="1" applyAlignment="1" applyProtection="1">
      <alignment vertical="center"/>
    </xf>
    <xf numFmtId="49" fontId="4" fillId="3" borderId="0" xfId="0" applyNumberFormat="1" applyFont="1" applyFill="1" applyBorder="1" applyAlignment="1" applyProtection="1">
      <alignment vertical="center"/>
    </xf>
    <xf numFmtId="0" fontId="4" fillId="3" borderId="0" xfId="0" applyFont="1" applyFill="1" applyBorder="1" applyAlignment="1" applyProtection="1">
      <alignment horizontal="left" vertical="center"/>
      <protection locked="0"/>
    </xf>
    <xf numFmtId="0" fontId="5" fillId="3" borderId="3" xfId="0" applyFont="1" applyFill="1" applyBorder="1" applyAlignment="1" applyProtection="1">
      <alignment vertical="center"/>
    </xf>
    <xf numFmtId="0" fontId="12" fillId="3" borderId="0" xfId="0" applyFont="1" applyFill="1" applyBorder="1" applyAlignment="1" applyProtection="1">
      <alignment horizontal="center" vertical="center" wrapText="1"/>
    </xf>
    <xf numFmtId="3" fontId="12" fillId="3" borderId="0" xfId="0" applyNumberFormat="1" applyFont="1" applyFill="1" applyBorder="1" applyAlignment="1" applyProtection="1">
      <alignment horizontal="center" vertical="center" wrapText="1"/>
    </xf>
    <xf numFmtId="0" fontId="5" fillId="3" borderId="0" xfId="0" applyFont="1" applyFill="1"/>
    <xf numFmtId="0" fontId="4" fillId="3" borderId="0" xfId="0" applyFont="1" applyFill="1"/>
    <xf numFmtId="0" fontId="5" fillId="3" borderId="0" xfId="0" applyFont="1" applyFill="1" applyBorder="1" applyAlignment="1" applyProtection="1">
      <alignment horizontal="center" vertical="center" wrapText="1"/>
    </xf>
    <xf numFmtId="9" fontId="4" fillId="3" borderId="0" xfId="0" applyNumberFormat="1" applyFont="1" applyFill="1" applyBorder="1" applyAlignment="1" applyProtection="1">
      <alignment horizontal="center" vertical="center"/>
    </xf>
    <xf numFmtId="8" fontId="4" fillId="3" borderId="0" xfId="0" applyNumberFormat="1" applyFont="1" applyFill="1" applyBorder="1" applyAlignment="1" applyProtection="1">
      <alignment vertical="center"/>
    </xf>
    <xf numFmtId="9" fontId="4" fillId="2" borderId="0" xfId="0" applyNumberFormat="1" applyFont="1" applyFill="1" applyBorder="1" applyAlignment="1" applyProtection="1">
      <alignment horizontal="center" vertical="center"/>
    </xf>
    <xf numFmtId="0" fontId="8" fillId="3" borderId="1" xfId="0" applyFont="1" applyFill="1" applyBorder="1" applyAlignment="1" applyProtection="1">
      <alignment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center" vertical="center" wrapText="1"/>
    </xf>
    <xf numFmtId="3" fontId="14" fillId="3" borderId="0" xfId="0" applyNumberFormat="1" applyFont="1" applyFill="1" applyBorder="1" applyAlignment="1" applyProtection="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Border="1" applyAlignment="1" applyProtection="1">
      <alignment vertical="center"/>
    </xf>
    <xf numFmtId="0" fontId="5" fillId="3" borderId="1" xfId="0" applyFont="1" applyFill="1" applyBorder="1" applyAlignment="1" applyProtection="1">
      <alignment vertical="center"/>
    </xf>
    <xf numFmtId="0" fontId="4" fillId="3" borderId="0" xfId="0" applyNumberFormat="1" applyFont="1" applyFill="1" applyBorder="1" applyAlignment="1" applyProtection="1">
      <alignment vertical="center"/>
    </xf>
    <xf numFmtId="49" fontId="4" fillId="3" borderId="9" xfId="0" applyNumberFormat="1" applyFont="1" applyFill="1" applyBorder="1" applyAlignment="1" applyProtection="1">
      <alignment vertical="center"/>
    </xf>
    <xf numFmtId="49" fontId="4" fillId="3" borderId="4" xfId="0" applyNumberFormat="1" applyFont="1" applyFill="1" applyBorder="1" applyAlignment="1" applyProtection="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Border="1" applyAlignment="1" applyProtection="1">
      <alignment vertical="center" wrapText="1"/>
    </xf>
    <xf numFmtId="0" fontId="8" fillId="2" borderId="0" xfId="0" applyFont="1" applyFill="1" applyBorder="1" applyAlignment="1" applyProtection="1">
      <alignment vertical="center"/>
    </xf>
    <xf numFmtId="0" fontId="5" fillId="2" borderId="0" xfId="0" applyFont="1" applyFill="1" applyBorder="1" applyAlignment="1" applyProtection="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Border="1" applyAlignment="1" applyProtection="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0" fontId="4" fillId="0" borderId="0" xfId="0" applyFont="1" applyFill="1" applyBorder="1" applyAlignment="1" applyProtection="1">
      <alignment vertical="center"/>
    </xf>
    <xf numFmtId="4" fontId="4" fillId="3" borderId="0" xfId="0" applyNumberFormat="1" applyFont="1" applyFill="1" applyBorder="1" applyAlignment="1" applyProtection="1">
      <alignment horizontal="right" vertical="center"/>
    </xf>
    <xf numFmtId="0" fontId="9" fillId="3" borderId="3"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4" fillId="7" borderId="0" xfId="0" applyFont="1" applyFill="1" applyBorder="1" applyAlignment="1" applyProtection="1">
      <alignment vertical="center"/>
    </xf>
    <xf numFmtId="1" fontId="4" fillId="7" borderId="0" xfId="0" applyNumberFormat="1" applyFont="1" applyFill="1" applyBorder="1" applyAlignment="1" applyProtection="1">
      <alignment vertical="center"/>
    </xf>
    <xf numFmtId="3" fontId="4" fillId="7" borderId="0" xfId="0" applyNumberFormat="1" applyFont="1" applyFill="1" applyBorder="1" applyAlignment="1" applyProtection="1">
      <alignment horizontal="right" vertical="center"/>
    </xf>
    <xf numFmtId="0" fontId="5" fillId="7" borderId="0" xfId="0" applyFont="1" applyFill="1" applyBorder="1" applyAlignment="1" applyProtection="1">
      <alignment vertical="center"/>
    </xf>
    <xf numFmtId="0" fontId="8" fillId="7" borderId="0" xfId="0" applyFont="1" applyFill="1" applyBorder="1" applyAlignment="1" applyProtection="1">
      <alignment vertical="center"/>
    </xf>
    <xf numFmtId="3" fontId="4" fillId="7" borderId="0" xfId="0" applyNumberFormat="1" applyFont="1" applyFill="1" applyBorder="1" applyAlignment="1" applyProtection="1">
      <alignment vertical="center"/>
    </xf>
    <xf numFmtId="0" fontId="13" fillId="3" borderId="8" xfId="0" applyFont="1" applyFill="1" applyBorder="1" applyAlignment="1" applyProtection="1">
      <alignment vertical="center"/>
    </xf>
    <xf numFmtId="1" fontId="4" fillId="3" borderId="8" xfId="0" applyNumberFormat="1" applyFont="1" applyFill="1" applyBorder="1" applyAlignment="1" applyProtection="1">
      <alignment vertical="center"/>
    </xf>
    <xf numFmtId="0" fontId="4" fillId="2" borderId="0" xfId="0" applyFont="1" applyFill="1"/>
    <xf numFmtId="0" fontId="8" fillId="3" borderId="0" xfId="0" applyFont="1" applyFill="1" applyAlignment="1">
      <alignment horizontal="left"/>
    </xf>
    <xf numFmtId="0" fontId="8" fillId="3" borderId="0" xfId="0" applyFont="1" applyFill="1" applyAlignment="1"/>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Border="1" applyAlignment="1">
      <alignment horizontal="center"/>
    </xf>
    <xf numFmtId="0" fontId="5" fillId="3" borderId="0" xfId="0" applyFont="1" applyFill="1" applyBorder="1"/>
    <xf numFmtId="0" fontId="4" fillId="3" borderId="0" xfId="0" applyFont="1" applyFill="1" applyBorder="1" applyAlignment="1">
      <alignment horizontal="center"/>
    </xf>
    <xf numFmtId="2" fontId="4" fillId="3" borderId="0" xfId="0" applyNumberFormat="1" applyFont="1" applyFill="1" applyAlignment="1">
      <alignment horizontal="center"/>
    </xf>
    <xf numFmtId="0" fontId="4" fillId="3" borderId="0" xfId="0" applyFont="1" applyFill="1" applyBorder="1" applyAlignment="1">
      <alignment horizontal="left"/>
    </xf>
    <xf numFmtId="2" fontId="4" fillId="3" borderId="0" xfId="0" applyNumberFormat="1" applyFont="1" applyFill="1" applyBorder="1" applyAlignment="1">
      <alignment horizontal="center"/>
    </xf>
    <xf numFmtId="0" fontId="4" fillId="3" borderId="0" xfId="0"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Font="1" applyFill="1" applyAlignment="1" applyProtection="1">
      <alignment horizontal="center"/>
    </xf>
    <xf numFmtId="2" fontId="4" fillId="3" borderId="0" xfId="0" applyNumberFormat="1" applyFont="1" applyFill="1" applyAlignment="1" applyProtection="1">
      <alignment horizontal="center"/>
    </xf>
    <xf numFmtId="0" fontId="4" fillId="3" borderId="0" xfId="0" applyFont="1" applyFill="1" applyAlignment="1" applyProtection="1">
      <alignment horizontal="left"/>
    </xf>
    <xf numFmtId="0" fontId="8" fillId="3" borderId="0" xfId="0" applyFont="1" applyFill="1" applyAlignment="1" applyProtection="1">
      <alignment horizontal="left"/>
    </xf>
    <xf numFmtId="0" fontId="10" fillId="3" borderId="0" xfId="0" applyFont="1" applyFill="1" applyBorder="1"/>
    <xf numFmtId="0" fontId="17" fillId="3" borderId="0" xfId="0" applyFont="1" applyFill="1" applyBorder="1"/>
    <xf numFmtId="0" fontId="4" fillId="2" borderId="0" xfId="0" applyFont="1" applyFill="1" applyAlignment="1">
      <alignment vertical="center"/>
    </xf>
    <xf numFmtId="0" fontId="17" fillId="2" borderId="0" xfId="0" applyFont="1" applyFill="1"/>
    <xf numFmtId="165" fontId="6" fillId="3" borderId="0" xfId="0" applyNumberFormat="1"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165" fontId="4" fillId="3" borderId="0" xfId="0" applyNumberFormat="1" applyFont="1" applyFill="1" applyBorder="1" applyAlignment="1" applyProtection="1">
      <alignment vertical="center"/>
    </xf>
    <xf numFmtId="165" fontId="4" fillId="3" borderId="0" xfId="0" applyNumberFormat="1" applyFont="1" applyFill="1" applyBorder="1" applyAlignment="1" applyProtection="1">
      <alignment horizontal="right" vertical="center"/>
    </xf>
    <xf numFmtId="0" fontId="11" fillId="3" borderId="0" xfId="2" applyFill="1"/>
    <xf numFmtId="0" fontId="8" fillId="3" borderId="0" xfId="0" applyFont="1" applyFill="1" applyBorder="1" applyAlignment="1" applyProtection="1">
      <alignment vertical="center" wrapText="1"/>
    </xf>
    <xf numFmtId="0" fontId="8" fillId="3" borderId="6" xfId="0" applyFont="1" applyFill="1" applyBorder="1" applyAlignment="1" applyProtection="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pplyProtection="1">
      <alignment vertical="center" wrapText="1"/>
    </xf>
    <xf numFmtId="0" fontId="4" fillId="8" borderId="0" xfId="0" applyFont="1" applyFill="1"/>
    <xf numFmtId="0" fontId="5" fillId="8" borderId="0" xfId="0" applyFont="1" applyFill="1"/>
    <xf numFmtId="0" fontId="4" fillId="9" borderId="0" xfId="0" applyFont="1" applyFill="1"/>
    <xf numFmtId="0" fontId="5" fillId="9" borderId="0" xfId="0" applyFont="1" applyFill="1" applyBorder="1"/>
    <xf numFmtId="0" fontId="4" fillId="9" borderId="0" xfId="0" applyFont="1" applyFill="1" applyBorder="1"/>
    <xf numFmtId="0" fontId="13" fillId="3" borderId="0" xfId="2" quotePrefix="1" applyFont="1" applyFill="1"/>
    <xf numFmtId="3" fontId="5" fillId="3" borderId="0" xfId="0" applyNumberFormat="1" applyFont="1" applyFill="1"/>
    <xf numFmtId="0" fontId="8" fillId="3" borderId="0" xfId="0" quotePrefix="1" applyFont="1" applyFill="1" applyBorder="1" applyAlignment="1" applyProtection="1">
      <alignment vertical="center"/>
    </xf>
    <xf numFmtId="3" fontId="8" fillId="2" borderId="0" xfId="0" applyNumberFormat="1" applyFont="1" applyFill="1" applyBorder="1" applyAlignment="1" applyProtection="1">
      <alignment vertical="center"/>
    </xf>
    <xf numFmtId="0" fontId="4" fillId="7" borderId="0" xfId="0" applyFont="1" applyFill="1" applyBorder="1" applyAlignment="1" applyProtection="1">
      <alignment horizontal="center" vertical="center"/>
    </xf>
    <xf numFmtId="0" fontId="4" fillId="3" borderId="12" xfId="0" applyFont="1" applyFill="1" applyBorder="1" applyAlignment="1" applyProtection="1">
      <alignment vertical="center"/>
    </xf>
    <xf numFmtId="0" fontId="4" fillId="3" borderId="13" xfId="0" applyFont="1" applyFill="1" applyBorder="1" applyAlignment="1" applyProtection="1">
      <alignment vertical="center"/>
    </xf>
    <xf numFmtId="3" fontId="4" fillId="3" borderId="13" xfId="0" applyNumberFormat="1" applyFont="1" applyFill="1" applyBorder="1" applyAlignment="1" applyProtection="1">
      <alignment vertical="center"/>
    </xf>
    <xf numFmtId="0" fontId="4" fillId="3" borderId="14" xfId="0" applyFont="1" applyFill="1" applyBorder="1" applyAlignment="1" applyProtection="1">
      <alignment vertical="center"/>
    </xf>
    <xf numFmtId="0" fontId="3" fillId="3" borderId="0" xfId="0" applyFont="1" applyFill="1" applyBorder="1" applyAlignment="1" applyProtection="1">
      <alignment vertical="center"/>
    </xf>
    <xf numFmtId="0" fontId="5" fillId="4" borderId="0"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5" fillId="3" borderId="0" xfId="0" applyFont="1" applyFill="1" applyAlignment="1"/>
    <xf numFmtId="0" fontId="4" fillId="8" borderId="0" xfId="0" applyFont="1" applyFill="1" applyAlignment="1" applyProtection="1">
      <alignment vertical="center"/>
    </xf>
    <xf numFmtId="0" fontId="4" fillId="8" borderId="0" xfId="0" quotePrefix="1" applyFont="1" applyFill="1" applyAlignment="1" applyProtection="1">
      <alignmen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8" fillId="8" borderId="0" xfId="0" applyFont="1" applyFill="1" applyBorder="1" applyAlignment="1" applyProtection="1">
      <alignment vertical="center" wrapText="1"/>
    </xf>
    <xf numFmtId="0" fontId="4" fillId="8" borderId="0" xfId="0" applyFont="1" applyFill="1" applyBorder="1" applyAlignment="1" applyProtection="1">
      <alignment vertical="center" wrapText="1"/>
    </xf>
    <xf numFmtId="0" fontId="5" fillId="10" borderId="0" xfId="0" applyFont="1" applyFill="1"/>
    <xf numFmtId="3" fontId="4" fillId="4" borderId="0" xfId="0" applyNumberFormat="1" applyFont="1" applyFill="1" applyBorder="1" applyAlignment="1" applyProtection="1">
      <alignment horizontal="right" vertical="center"/>
    </xf>
    <xf numFmtId="0" fontId="8" fillId="0" borderId="0" xfId="0" applyFont="1" applyBorder="1" applyAlignment="1" applyProtection="1">
      <alignment vertical="center"/>
    </xf>
    <xf numFmtId="0" fontId="8" fillId="3" borderId="13" xfId="0" applyFont="1" applyFill="1" applyBorder="1" applyAlignment="1" applyProtection="1">
      <alignment vertical="center"/>
    </xf>
    <xf numFmtId="165" fontId="6" fillId="3" borderId="13" xfId="0" applyNumberFormat="1" applyFont="1" applyFill="1" applyBorder="1" applyAlignment="1" applyProtection="1">
      <alignment vertical="center"/>
    </xf>
    <xf numFmtId="0" fontId="19" fillId="3" borderId="0" xfId="0" applyFont="1" applyFill="1" applyBorder="1" applyAlignment="1" applyProtection="1">
      <alignment vertical="center"/>
    </xf>
    <xf numFmtId="1" fontId="13" fillId="3" borderId="0" xfId="0" applyNumberFormat="1" applyFont="1" applyFill="1" applyBorder="1" applyAlignment="1" applyProtection="1">
      <alignment vertical="center"/>
    </xf>
    <xf numFmtId="0" fontId="9" fillId="3" borderId="3"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3" fontId="3" fillId="3" borderId="0" xfId="0" applyNumberFormat="1" applyFont="1" applyFill="1" applyBorder="1" applyAlignment="1" applyProtection="1">
      <alignment vertical="center"/>
    </xf>
    <xf numFmtId="0" fontId="4" fillId="4" borderId="8" xfId="0" quotePrefix="1" applyFont="1" applyFill="1" applyBorder="1" applyAlignment="1" applyProtection="1">
      <alignment vertical="center"/>
    </xf>
    <xf numFmtId="0" fontId="8" fillId="4" borderId="8" xfId="0" applyFont="1" applyFill="1" applyBorder="1" applyAlignment="1" applyProtection="1">
      <alignment horizontal="left" vertical="top"/>
    </xf>
    <xf numFmtId="0" fontId="4" fillId="4" borderId="8" xfId="0" applyFont="1" applyFill="1" applyBorder="1" applyAlignment="1" applyProtection="1">
      <alignment vertical="center"/>
    </xf>
    <xf numFmtId="0" fontId="3" fillId="3" borderId="8" xfId="0" applyFont="1" applyFill="1" applyBorder="1" applyAlignment="1" applyProtection="1">
      <alignment vertical="center"/>
    </xf>
    <xf numFmtId="1" fontId="0" fillId="5" borderId="0" xfId="0" applyNumberFormat="1" applyFill="1" applyAlignment="1">
      <alignment horizontal="center"/>
    </xf>
    <xf numFmtId="3" fontId="20" fillId="3" borderId="0" xfId="0" applyNumberFormat="1" applyFont="1" applyFill="1" applyBorder="1" applyAlignment="1" applyProtection="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8" fillId="0" borderId="0" xfId="0" applyFont="1" applyAlignment="1" applyProtection="1">
      <alignment vertical="center"/>
    </xf>
    <xf numFmtId="0" fontId="4" fillId="3" borderId="0" xfId="0" applyFont="1" applyFill="1" applyAlignment="1">
      <alignment vertical="top"/>
    </xf>
    <xf numFmtId="0" fontId="4" fillId="0" borderId="0" xfId="0" applyFont="1" applyFill="1" applyBorder="1" applyAlignment="1" applyProtection="1">
      <alignment horizontal="center" vertical="center"/>
    </xf>
    <xf numFmtId="0" fontId="0" fillId="3" borderId="0" xfId="0" applyFont="1" applyFill="1"/>
    <xf numFmtId="1" fontId="4" fillId="4" borderId="0" xfId="0" applyNumberFormat="1" applyFont="1" applyFill="1" applyBorder="1" applyAlignment="1" applyProtection="1">
      <alignment vertical="center"/>
    </xf>
    <xf numFmtId="3" fontId="0" fillId="3" borderId="0" xfId="0" applyNumberFormat="1" applyFill="1" applyAlignment="1">
      <alignment horizontal="center"/>
    </xf>
    <xf numFmtId="0" fontId="5" fillId="3" borderId="0" xfId="0" applyFont="1" applyFill="1" applyAlignment="1">
      <alignment vertical="center"/>
    </xf>
    <xf numFmtId="165" fontId="4" fillId="4" borderId="0" xfId="0" applyNumberFormat="1" applyFont="1" applyFill="1" applyBorder="1" applyAlignment="1" applyProtection="1">
      <alignment vertical="center"/>
    </xf>
    <xf numFmtId="3" fontId="4" fillId="4" borderId="8" xfId="0" applyNumberFormat="1" applyFont="1" applyFill="1" applyBorder="1" applyAlignment="1" applyProtection="1">
      <alignment horizontal="right" vertical="center"/>
    </xf>
    <xf numFmtId="1" fontId="4" fillId="8" borderId="0" xfId="0" applyNumberFormat="1" applyFont="1" applyFill="1" applyBorder="1" applyAlignment="1" applyProtection="1">
      <alignment vertical="center"/>
    </xf>
    <xf numFmtId="3" fontId="4" fillId="8" borderId="0" xfId="0" applyNumberFormat="1" applyFont="1" applyFill="1" applyBorder="1" applyAlignment="1" applyProtection="1">
      <alignment vertical="center"/>
    </xf>
    <xf numFmtId="3" fontId="4" fillId="8" borderId="0" xfId="0" applyNumberFormat="1" applyFont="1" applyFill="1" applyBorder="1" applyAlignment="1" applyProtection="1">
      <alignment vertical="center" wrapText="1"/>
    </xf>
    <xf numFmtId="3" fontId="4" fillId="8" borderId="0" xfId="0" applyNumberFormat="1" applyFont="1" applyFill="1" applyBorder="1" applyAlignment="1" applyProtection="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0" fontId="0" fillId="3" borderId="17" xfId="0" applyFont="1" applyFill="1" applyBorder="1"/>
    <xf numFmtId="3" fontId="0" fillId="3" borderId="18" xfId="0" applyNumberFormat="1" applyFont="1" applyFill="1" applyBorder="1" applyAlignment="1">
      <alignment horizontal="left"/>
    </xf>
    <xf numFmtId="0" fontId="0" fillId="3" borderId="17" xfId="0" applyFont="1" applyFill="1" applyBorder="1" applyAlignment="1" applyProtection="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Border="1" applyAlignment="1" applyProtection="1">
      <alignment vertical="top" wrapText="1"/>
    </xf>
    <xf numFmtId="0" fontId="8" fillId="3" borderId="0" xfId="0" applyFont="1" applyFill="1" applyBorder="1" applyAlignment="1" applyProtection="1">
      <alignment vertical="top" wrapText="1"/>
    </xf>
    <xf numFmtId="0" fontId="8" fillId="3" borderId="6" xfId="0" applyFont="1" applyFill="1" applyBorder="1" applyAlignment="1" applyProtection="1">
      <alignment vertical="top" wrapText="1"/>
    </xf>
    <xf numFmtId="0" fontId="19" fillId="8" borderId="0" xfId="0" applyFont="1" applyFill="1" applyBorder="1" applyAlignment="1" applyProtection="1">
      <alignment vertical="center"/>
    </xf>
    <xf numFmtId="0" fontId="19" fillId="8" borderId="0" xfId="0" applyFont="1" applyFill="1" applyAlignment="1" applyProtection="1">
      <alignment vertical="center"/>
    </xf>
    <xf numFmtId="0" fontId="13" fillId="3" borderId="0" xfId="2" applyFont="1" applyFill="1"/>
    <xf numFmtId="0" fontId="18" fillId="3" borderId="0" xfId="2" applyFont="1" applyFill="1" applyAlignment="1">
      <alignment vertical="center"/>
    </xf>
    <xf numFmtId="3" fontId="20" fillId="3" borderId="0" xfId="0" applyNumberFormat="1" applyFont="1" applyFill="1" applyBorder="1" applyAlignment="1" applyProtection="1">
      <alignment horizontal="left" vertical="top" wrapText="1"/>
    </xf>
    <xf numFmtId="0" fontId="5" fillId="8" borderId="0" xfId="0" applyFont="1" applyFill="1" applyBorder="1" applyAlignment="1" applyProtection="1">
      <alignment horizontal="center" vertical="center"/>
    </xf>
    <xf numFmtId="0" fontId="5" fillId="3" borderId="8"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9" fillId="3" borderId="3" xfId="0" applyFont="1" applyFill="1" applyBorder="1" applyAlignment="1" applyProtection="1">
      <alignment vertical="center" wrapText="1"/>
    </xf>
    <xf numFmtId="0" fontId="9" fillId="3" borderId="8" xfId="0" applyFont="1" applyFill="1" applyBorder="1" applyAlignment="1" applyProtection="1">
      <alignment vertical="center" wrapText="1"/>
    </xf>
    <xf numFmtId="0" fontId="7" fillId="3" borderId="6" xfId="0" applyFont="1" applyFill="1" applyBorder="1" applyAlignment="1" applyProtection="1">
      <alignment horizontal="left" vertical="center" wrapText="1"/>
    </xf>
    <xf numFmtId="0" fontId="4" fillId="6" borderId="0" xfId="0" applyFont="1" applyFill="1" applyBorder="1" applyAlignment="1" applyProtection="1">
      <alignment vertical="center"/>
    </xf>
    <xf numFmtId="0" fontId="8" fillId="3" borderId="0" xfId="0" applyFont="1" applyFill="1" applyBorder="1" applyAlignment="1" applyProtection="1">
      <alignment horizontal="left" vertical="center" wrapText="1"/>
    </xf>
    <xf numFmtId="0" fontId="8" fillId="3" borderId="6" xfId="0" applyFont="1" applyFill="1" applyBorder="1" applyAlignment="1" applyProtection="1">
      <alignment horizontal="left" vertical="center" wrapText="1"/>
    </xf>
    <xf numFmtId="0" fontId="7" fillId="3" borderId="0" xfId="0" applyFont="1" applyFill="1" applyBorder="1" applyAlignment="1" applyProtection="1">
      <alignment horizontal="left" vertical="top" wrapText="1"/>
    </xf>
    <xf numFmtId="0" fontId="7" fillId="3" borderId="6" xfId="0" applyFont="1" applyFill="1" applyBorder="1" applyAlignment="1" applyProtection="1">
      <alignment horizontal="left" vertical="top" wrapText="1"/>
    </xf>
    <xf numFmtId="0" fontId="8" fillId="3" borderId="0" xfId="0" applyFont="1" applyFill="1" applyBorder="1" applyAlignment="1" applyProtection="1">
      <alignment horizontal="left" vertical="top" wrapText="1"/>
    </xf>
    <xf numFmtId="0" fontId="8" fillId="3" borderId="6" xfId="0" applyFont="1" applyFill="1" applyBorder="1" applyAlignment="1" applyProtection="1">
      <alignment horizontal="left" vertical="top" wrapText="1"/>
    </xf>
    <xf numFmtId="0" fontId="4" fillId="3" borderId="0" xfId="0" applyFont="1" applyFill="1" applyAlignment="1">
      <alignment horizontal="left" wrapText="1"/>
    </xf>
    <xf numFmtId="0" fontId="4" fillId="3" borderId="0" xfId="0" applyFont="1" applyFill="1" applyAlignment="1">
      <alignment horizontal="left" vertical="top"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Types" Target="richData/rdRichValueTypes.xml"/><Relationship Id="rId5" Type="http://schemas.openxmlformats.org/officeDocument/2006/relationships/theme" Target="theme/theme1.xml"/><Relationship Id="rId15" Type="http://schemas.openxmlformats.org/officeDocument/2006/relationships/customXml" Target="../customXml/item3.xml"/><Relationship Id="rId10" Type="http://schemas.microsoft.com/office/2017/06/relationships/rdRichValueStructure" Target="richData/rdrichvaluestructure.xml"/><Relationship Id="rId4" Type="http://schemas.openxmlformats.org/officeDocument/2006/relationships/worksheet" Target="worksheets/sheet4.xml"/><Relationship Id="rId9" Type="http://schemas.microsoft.com/office/2017/06/relationships/rdRichValue" Target="richData/rdrichvalue.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27270.480583526984</c:v>
                </c:pt>
                <c:pt idx="1">
                  <c:v>27270.480583526984</c:v>
                </c:pt>
                <c:pt idx="2">
                  <c:v>27270.480583526984</c:v>
                </c:pt>
                <c:pt idx="3">
                  <c:v>27270.480583526984</c:v>
                </c:pt>
                <c:pt idx="4">
                  <c:v>27270.480583526984</c:v>
                </c:pt>
                <c:pt idx="5">
                  <c:v>28950.873273448462</c:v>
                </c:pt>
                <c:pt idx="6">
                  <c:v>28950.873273448462</c:v>
                </c:pt>
                <c:pt idx="7">
                  <c:v>28950.873273448462</c:v>
                </c:pt>
                <c:pt idx="8">
                  <c:v>28950.873273448462</c:v>
                </c:pt>
                <c:pt idx="9">
                  <c:v>28950.873273448462</c:v>
                </c:pt>
                <c:pt idx="10">
                  <c:v>28950.873273448462</c:v>
                </c:pt>
                <c:pt idx="11">
                  <c:v>28950.873273448462</c:v>
                </c:pt>
                <c:pt idx="12">
                  <c:v>28950.873273448462</c:v>
                </c:pt>
                <c:pt idx="13">
                  <c:v>28950.873273448462</c:v>
                </c:pt>
                <c:pt idx="14">
                  <c:v>28950.873273448462</c:v>
                </c:pt>
                <c:pt idx="15">
                  <c:v>28950.873273448462</c:v>
                </c:pt>
                <c:pt idx="16">
                  <c:v>28950.873273448462</c:v>
                </c:pt>
                <c:pt idx="17">
                  <c:v>28950.873273448462</c:v>
                </c:pt>
                <c:pt idx="18">
                  <c:v>28950.873273448462</c:v>
                </c:pt>
                <c:pt idx="19">
                  <c:v>28950.873273448462</c:v>
                </c:pt>
                <c:pt idx="20">
                  <c:v>28950.873273448462</c:v>
                </c:pt>
                <c:pt idx="21">
                  <c:v>28950.873273448462</c:v>
                </c:pt>
                <c:pt idx="22">
                  <c:v>28950.873273448462</c:v>
                </c:pt>
                <c:pt idx="23">
                  <c:v>28950.873273448462</c:v>
                </c:pt>
                <c:pt idx="24">
                  <c:v>28950.873273448462</c:v>
                </c:pt>
                <c:pt idx="25">
                  <c:v>28950.873273448462</c:v>
                </c:pt>
                <c:pt idx="26">
                  <c:v>28950.873273448462</c:v>
                </c:pt>
                <c:pt idx="27">
                  <c:v>28950.873273448462</c:v>
                </c:pt>
                <c:pt idx="28">
                  <c:v>28950.873273448462</c:v>
                </c:pt>
                <c:pt idx="29">
                  <c:v>28950.873273448462</c:v>
                </c:pt>
                <c:pt idx="30">
                  <c:v>28950.873273448462</c:v>
                </c:pt>
                <c:pt idx="31">
                  <c:v>28950.873273448462</c:v>
                </c:pt>
                <c:pt idx="32">
                  <c:v>28950.873273448462</c:v>
                </c:pt>
                <c:pt idx="33">
                  <c:v>28950.873273448462</c:v>
                </c:pt>
                <c:pt idx="34">
                  <c:v>28950.873273448462</c:v>
                </c:pt>
                <c:pt idx="35">
                  <c:v>28950.873273448462</c:v>
                </c:pt>
                <c:pt idx="36">
                  <c:v>28950.873273448462</c:v>
                </c:pt>
                <c:pt idx="37">
                  <c:v>28950.873273448462</c:v>
                </c:pt>
                <c:pt idx="38">
                  <c:v>28950.873273448462</c:v>
                </c:pt>
                <c:pt idx="39">
                  <c:v>28950.873273448462</c:v>
                </c:pt>
                <c:pt idx="40">
                  <c:v>28950.873273448462</c:v>
                </c:pt>
                <c:pt idx="41">
                  <c:v>28950.873273448462</c:v>
                </c:pt>
                <c:pt idx="42">
                  <c:v>28950.873273448462</c:v>
                </c:pt>
                <c:pt idx="43">
                  <c:v>28950.873273448462</c:v>
                </c:pt>
                <c:pt idx="44">
                  <c:v>28950.873273448462</c:v>
                </c:pt>
                <c:pt idx="45">
                  <c:v>28950.873273448462</c:v>
                </c:pt>
                <c:pt idx="46">
                  <c:v>28950.873273448462</c:v>
                </c:pt>
                <c:pt idx="47">
                  <c:v>28950.873273448462</c:v>
                </c:pt>
                <c:pt idx="48">
                  <c:v>28950.873273448462</c:v>
                </c:pt>
                <c:pt idx="49">
                  <c:v>28950.873273448462</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18533.47241097828</c:v>
                </c:pt>
                <c:pt idx="1">
                  <c:v>18533.47241097828</c:v>
                </c:pt>
                <c:pt idx="2">
                  <c:v>18533.47241097828</c:v>
                </c:pt>
                <c:pt idx="3">
                  <c:v>18533.47241097828</c:v>
                </c:pt>
                <c:pt idx="4">
                  <c:v>18533.47241097828</c:v>
                </c:pt>
                <c:pt idx="5">
                  <c:v>18533.47241097828</c:v>
                </c:pt>
                <c:pt idx="6">
                  <c:v>18533.47241097828</c:v>
                </c:pt>
                <c:pt idx="7">
                  <c:v>18533.47241097828</c:v>
                </c:pt>
                <c:pt idx="8">
                  <c:v>18533.47241097828</c:v>
                </c:pt>
                <c:pt idx="9">
                  <c:v>18533.47241097828</c:v>
                </c:pt>
                <c:pt idx="10">
                  <c:v>18533.47241097828</c:v>
                </c:pt>
                <c:pt idx="11">
                  <c:v>18533.47241097828</c:v>
                </c:pt>
                <c:pt idx="12">
                  <c:v>18533.47241097828</c:v>
                </c:pt>
                <c:pt idx="13">
                  <c:v>18533.47241097828</c:v>
                </c:pt>
                <c:pt idx="14">
                  <c:v>18533.47241097828</c:v>
                </c:pt>
                <c:pt idx="15">
                  <c:v>18533.47241097828</c:v>
                </c:pt>
                <c:pt idx="16">
                  <c:v>18533.47241097828</c:v>
                </c:pt>
                <c:pt idx="17">
                  <c:v>18533.47241097828</c:v>
                </c:pt>
                <c:pt idx="18">
                  <c:v>18533.47241097828</c:v>
                </c:pt>
                <c:pt idx="19">
                  <c:v>18533.47241097828</c:v>
                </c:pt>
                <c:pt idx="20">
                  <c:v>16853.079721056802</c:v>
                </c:pt>
                <c:pt idx="21">
                  <c:v>16853.079721056802</c:v>
                </c:pt>
                <c:pt idx="22">
                  <c:v>16853.079721056802</c:v>
                </c:pt>
                <c:pt idx="23">
                  <c:v>16853.079721056802</c:v>
                </c:pt>
                <c:pt idx="24">
                  <c:v>16853.079721056802</c:v>
                </c:pt>
                <c:pt idx="25">
                  <c:v>16853.079721056802</c:v>
                </c:pt>
                <c:pt idx="26">
                  <c:v>16853.079721056802</c:v>
                </c:pt>
                <c:pt idx="27">
                  <c:v>16853.079721056802</c:v>
                </c:pt>
                <c:pt idx="28">
                  <c:v>16853.079721056802</c:v>
                </c:pt>
                <c:pt idx="29">
                  <c:v>16853.079721056802</c:v>
                </c:pt>
                <c:pt idx="30">
                  <c:v>15577.598238050487</c:v>
                </c:pt>
                <c:pt idx="31">
                  <c:v>15577.598238050487</c:v>
                </c:pt>
                <c:pt idx="32">
                  <c:v>15577.598238050487</c:v>
                </c:pt>
                <c:pt idx="33">
                  <c:v>15577.598238050487</c:v>
                </c:pt>
                <c:pt idx="34">
                  <c:v>15577.598238050487</c:v>
                </c:pt>
                <c:pt idx="35">
                  <c:v>15577.598238050487</c:v>
                </c:pt>
                <c:pt idx="36">
                  <c:v>15577.598238050487</c:v>
                </c:pt>
                <c:pt idx="37">
                  <c:v>15577.598238050487</c:v>
                </c:pt>
                <c:pt idx="38">
                  <c:v>15577.598238050487</c:v>
                </c:pt>
                <c:pt idx="39">
                  <c:v>15577.598238050487</c:v>
                </c:pt>
                <c:pt idx="40">
                  <c:v>15577.598238050487</c:v>
                </c:pt>
                <c:pt idx="41">
                  <c:v>15577.598238050487</c:v>
                </c:pt>
                <c:pt idx="42">
                  <c:v>15577.598238050487</c:v>
                </c:pt>
                <c:pt idx="43">
                  <c:v>15577.598238050487</c:v>
                </c:pt>
                <c:pt idx="44">
                  <c:v>15577.598238050487</c:v>
                </c:pt>
                <c:pt idx="45">
                  <c:v>15577.598238050487</c:v>
                </c:pt>
                <c:pt idx="46">
                  <c:v>15577.598238050487</c:v>
                </c:pt>
                <c:pt idx="47">
                  <c:v>15577.598238050487</c:v>
                </c:pt>
                <c:pt idx="48">
                  <c:v>15577.598238050487</c:v>
                </c:pt>
                <c:pt idx="49">
                  <c:v>15577.598238050487</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pt idx="0">
                  <c:v>Varmepumpe</c:v>
                </c:pt>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19163.127925756431</c:v>
                </c:pt>
                <c:pt idx="1">
                  <c:v>19163.127925756431</c:v>
                </c:pt>
                <c:pt idx="2">
                  <c:v>19163.127925756431</c:v>
                </c:pt>
                <c:pt idx="3">
                  <c:v>19163.127925756431</c:v>
                </c:pt>
                <c:pt idx="4">
                  <c:v>19163.127925756431</c:v>
                </c:pt>
                <c:pt idx="5">
                  <c:v>19163.127925756431</c:v>
                </c:pt>
                <c:pt idx="6">
                  <c:v>19163.127925756431</c:v>
                </c:pt>
                <c:pt idx="7">
                  <c:v>19163.127925756431</c:v>
                </c:pt>
                <c:pt idx="8">
                  <c:v>19163.127925756431</c:v>
                </c:pt>
                <c:pt idx="9">
                  <c:v>19163.127925756431</c:v>
                </c:pt>
                <c:pt idx="10">
                  <c:v>19163.127925756431</c:v>
                </c:pt>
                <c:pt idx="11">
                  <c:v>19163.127925756431</c:v>
                </c:pt>
                <c:pt idx="12">
                  <c:v>19163.127925756431</c:v>
                </c:pt>
                <c:pt idx="13">
                  <c:v>19163.127925756431</c:v>
                </c:pt>
                <c:pt idx="14">
                  <c:v>19163.127925756431</c:v>
                </c:pt>
                <c:pt idx="15">
                  <c:v>16233.957711643825</c:v>
                </c:pt>
                <c:pt idx="16">
                  <c:v>16233.957711643825</c:v>
                </c:pt>
                <c:pt idx="17">
                  <c:v>16233.957711643825</c:v>
                </c:pt>
                <c:pt idx="18">
                  <c:v>16233.957711643825</c:v>
                </c:pt>
                <c:pt idx="19">
                  <c:v>16233.957711643825</c:v>
                </c:pt>
                <c:pt idx="20">
                  <c:v>16233.957711643825</c:v>
                </c:pt>
                <c:pt idx="21">
                  <c:v>16233.957711643825</c:v>
                </c:pt>
                <c:pt idx="22">
                  <c:v>16233.957711643825</c:v>
                </c:pt>
                <c:pt idx="23">
                  <c:v>16233.957711643825</c:v>
                </c:pt>
                <c:pt idx="24">
                  <c:v>16233.957711643825</c:v>
                </c:pt>
                <c:pt idx="25">
                  <c:v>16233.957711643825</c:v>
                </c:pt>
                <c:pt idx="26">
                  <c:v>16233.957711643825</c:v>
                </c:pt>
                <c:pt idx="27">
                  <c:v>16233.957711643825</c:v>
                </c:pt>
                <c:pt idx="28">
                  <c:v>16233.957711643825</c:v>
                </c:pt>
                <c:pt idx="29">
                  <c:v>16233.957711643825</c:v>
                </c:pt>
                <c:pt idx="30">
                  <c:v>16233.957711643825</c:v>
                </c:pt>
                <c:pt idx="31">
                  <c:v>16233.957711643825</c:v>
                </c:pt>
                <c:pt idx="32">
                  <c:v>16233.957711643825</c:v>
                </c:pt>
                <c:pt idx="33">
                  <c:v>16233.957711643825</c:v>
                </c:pt>
                <c:pt idx="34">
                  <c:v>16233.957711643825</c:v>
                </c:pt>
                <c:pt idx="35">
                  <c:v>16233.957711643825</c:v>
                </c:pt>
                <c:pt idx="36">
                  <c:v>16233.957711643825</c:v>
                </c:pt>
                <c:pt idx="37">
                  <c:v>16233.957711643825</c:v>
                </c:pt>
                <c:pt idx="38">
                  <c:v>16233.957711643825</c:v>
                </c:pt>
                <c:pt idx="39">
                  <c:v>16233.957711643825</c:v>
                </c:pt>
                <c:pt idx="40">
                  <c:v>16233.957711643825</c:v>
                </c:pt>
                <c:pt idx="41">
                  <c:v>16233.957711643825</c:v>
                </c:pt>
                <c:pt idx="42">
                  <c:v>16233.957711643825</c:v>
                </c:pt>
                <c:pt idx="43">
                  <c:v>16233.957711643825</c:v>
                </c:pt>
                <c:pt idx="44">
                  <c:v>16233.957711643825</c:v>
                </c:pt>
                <c:pt idx="45">
                  <c:v>16233.957711643825</c:v>
                </c:pt>
                <c:pt idx="46">
                  <c:v>16233.957711643825</c:v>
                </c:pt>
                <c:pt idx="47">
                  <c:v>16233.957711643825</c:v>
                </c:pt>
                <c:pt idx="48">
                  <c:v>16233.957711643825</c:v>
                </c:pt>
                <c:pt idx="49">
                  <c:v>16233.957711643825</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3"/>
                <c:pt idx="0">
                  <c:v>Naturgas</c:v>
                </c:pt>
                <c:pt idx="1">
                  <c:v>Fjernvarme </c:v>
                </c:pt>
                <c:pt idx="2">
                  <c:v>Varmepumpe</c:v>
                </c:pt>
              </c:strCache>
            </c:strRef>
          </c:cat>
          <c:val>
            <c:numRef>
              <c:f>'Tabel resultat'!$C$61:$F$61</c:f>
              <c:numCache>
                <c:formatCode>#,##0</c:formatCode>
                <c:ptCount val="4"/>
                <c:pt idx="0">
                  <c:v>2398.5695003713604</c:v>
                </c:pt>
                <c:pt idx="1">
                  <c:v>1417.9203503185718</c:v>
                </c:pt>
                <c:pt idx="2">
                  <c:v>1426.0590646564658</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675589</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600074</xdr:colOff>
      <xdr:row>106</xdr:row>
      <xdr:rowOff>4866</xdr:rowOff>
    </xdr:to>
    <xdr:pic>
      <xdr:nvPicPr>
        <xdr:cNvPr id="6" name="Billede 5">
          <a:extLst>
            <a:ext uri="{FF2B5EF4-FFF2-40B4-BE49-F238E27FC236}">
              <a16:creationId xmlns:a16="http://schemas.microsoft.com/office/drawing/2014/main" id="{AD11D62C-A1BA-482D-B358-6D25B33DC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6972300"/>
          <a:ext cx="3638549" cy="3542376"/>
        </a:xfrm>
        <a:prstGeom prst="rect">
          <a:avLst/>
        </a:prstGeom>
      </xdr:spPr>
    </xdr:pic>
    <xdr:clientData/>
  </xdr:twoCellAnchor>
  <xdr:twoCellAnchor editAs="oneCell">
    <xdr:from>
      <xdr:col>1</xdr:col>
      <xdr:colOff>1</xdr:colOff>
      <xdr:row>9</xdr:row>
      <xdr:rowOff>0</xdr:rowOff>
    </xdr:from>
    <xdr:to>
      <xdr:col>9</xdr:col>
      <xdr:colOff>311107</xdr:colOff>
      <xdr:row>25</xdr:row>
      <xdr:rowOff>58831</xdr:rowOff>
    </xdr:to>
    <xdr:pic>
      <xdr:nvPicPr>
        <xdr:cNvPr id="4" name="Billede 3">
          <a:extLst>
            <a:ext uri="{FF2B5EF4-FFF2-40B4-BE49-F238E27FC236}">
              <a16:creationId xmlns:a16="http://schemas.microsoft.com/office/drawing/2014/main" id="{D7CC37BA-1A65-4193-ABDB-3F3FD3043D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1" y="2876550"/>
          <a:ext cx="5187906" cy="3248025"/>
        </a:xfrm>
        <a:prstGeom prst="rect">
          <a:avLst/>
        </a:prstGeom>
      </xdr:spPr>
    </xdr:pic>
    <xdr:clientData/>
  </xdr:twoCellAnchor>
  <xdr:twoCellAnchor editAs="oneCell">
    <xdr:from>
      <xdr:col>12</xdr:col>
      <xdr:colOff>593914</xdr:colOff>
      <xdr:row>10</xdr:row>
      <xdr:rowOff>100852</xdr:rowOff>
    </xdr:from>
    <xdr:to>
      <xdr:col>25</xdr:col>
      <xdr:colOff>549090</xdr:colOff>
      <xdr:row>23</xdr:row>
      <xdr:rowOff>11205</xdr:rowOff>
    </xdr:to>
    <xdr:pic>
      <xdr:nvPicPr>
        <xdr:cNvPr id="2" name="Billede 1">
          <a:extLst>
            <a:ext uri="{FF2B5EF4-FFF2-40B4-BE49-F238E27FC236}">
              <a16:creationId xmlns:a16="http://schemas.microsoft.com/office/drawing/2014/main" id="{D15407E6-61B1-4FDB-956D-3DC9640811D2}"/>
            </a:ext>
          </a:extLst>
        </xdr:cNvPr>
        <xdr:cNvPicPr>
          <a:picLocks noChangeAspect="1"/>
        </xdr:cNvPicPr>
      </xdr:nvPicPr>
      <xdr:blipFill rotWithShape="1">
        <a:blip xmlns:r="http://schemas.openxmlformats.org/officeDocument/2006/relationships" r:embed="rId3"/>
        <a:srcRect l="59782" t="41083" r="18311" b="36854"/>
        <a:stretch/>
      </xdr:blipFill>
      <xdr:spPr>
        <a:xfrm>
          <a:off x="7855326" y="4426323"/>
          <a:ext cx="8012205" cy="2521324"/>
        </a:xfrm>
        <a:prstGeom prst="rect">
          <a:avLst/>
        </a:prstGeom>
      </xdr:spPr>
    </xdr:pic>
    <xdr:clientData/>
  </xdr:twoCellAnchor>
  <xdr:twoCellAnchor editAs="oneCell">
    <xdr:from>
      <xdr:col>0</xdr:col>
      <xdr:colOff>593914</xdr:colOff>
      <xdr:row>50</xdr:row>
      <xdr:rowOff>78441</xdr:rowOff>
    </xdr:from>
    <xdr:to>
      <xdr:col>14</xdr:col>
      <xdr:colOff>336179</xdr:colOff>
      <xdr:row>55</xdr:row>
      <xdr:rowOff>123266</xdr:rowOff>
    </xdr:to>
    <xdr:pic>
      <xdr:nvPicPr>
        <xdr:cNvPr id="5" name="Billede 4">
          <a:extLst>
            <a:ext uri="{FF2B5EF4-FFF2-40B4-BE49-F238E27FC236}">
              <a16:creationId xmlns:a16="http://schemas.microsoft.com/office/drawing/2014/main" id="{F3FDA659-3860-4E48-8AF1-9CCC553D3EA8}"/>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614647"/>
          <a:ext cx="8213912" cy="1053354"/>
        </a:xfrm>
        <a:prstGeom prst="rect">
          <a:avLst/>
        </a:prstGeom>
      </xdr:spPr>
    </xdr:pic>
    <xdr:clientData/>
  </xdr:twoCellAnchor>
  <xdr:twoCellAnchor editAs="oneCell">
    <xdr:from>
      <xdr:col>1</xdr:col>
      <xdr:colOff>22413</xdr:colOff>
      <xdr:row>43</xdr:row>
      <xdr:rowOff>0</xdr:rowOff>
    </xdr:from>
    <xdr:to>
      <xdr:col>14</xdr:col>
      <xdr:colOff>369796</xdr:colOff>
      <xdr:row>47</xdr:row>
      <xdr:rowOff>156882</xdr:rowOff>
    </xdr:to>
    <xdr:pic>
      <xdr:nvPicPr>
        <xdr:cNvPr id="7" name="Billede 6">
          <a:extLst>
            <a:ext uri="{FF2B5EF4-FFF2-40B4-BE49-F238E27FC236}">
              <a16:creationId xmlns:a16="http://schemas.microsoft.com/office/drawing/2014/main" id="{7C4B82C5-93A8-4227-ACA8-FEB19C2314D3}"/>
            </a:ext>
          </a:extLst>
        </xdr:cNvPr>
        <xdr:cNvPicPr>
          <a:picLocks noChangeAspect="1"/>
        </xdr:cNvPicPr>
      </xdr:nvPicPr>
      <xdr:blipFill rotWithShape="1">
        <a:blip xmlns:r="http://schemas.openxmlformats.org/officeDocument/2006/relationships" r:embed="rId4"/>
        <a:srcRect l="59689" t="41770" r="17851" b="49797"/>
        <a:stretch/>
      </xdr:blipFill>
      <xdr:spPr>
        <a:xfrm>
          <a:off x="627531" y="8124265"/>
          <a:ext cx="8213912" cy="963706"/>
        </a:xfrm>
        <a:prstGeom prst="rect">
          <a:avLst/>
        </a:prstGeom>
      </xdr:spPr>
    </xdr:pic>
    <xdr:clientData/>
  </xdr:twoCellAnchor>
  <xdr:twoCellAnchor editAs="oneCell">
    <xdr:from>
      <xdr:col>0</xdr:col>
      <xdr:colOff>635000</xdr:colOff>
      <xdr:row>166</xdr:row>
      <xdr:rowOff>119529</xdr:rowOff>
    </xdr:from>
    <xdr:to>
      <xdr:col>11</xdr:col>
      <xdr:colOff>320768</xdr:colOff>
      <xdr:row>188</xdr:row>
      <xdr:rowOff>104587</xdr:rowOff>
    </xdr:to>
    <xdr:pic>
      <xdr:nvPicPr>
        <xdr:cNvPr id="8" name="Billede 7">
          <a:extLst>
            <a:ext uri="{FF2B5EF4-FFF2-40B4-BE49-F238E27FC236}">
              <a16:creationId xmlns:a16="http://schemas.microsoft.com/office/drawing/2014/main" id="{60668207-8AC5-4704-AE3C-D370E3996357}"/>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071235"/>
          <a:ext cx="6752944" cy="4258235"/>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189</xdr:row>
      <xdr:rowOff>7845</xdr:rowOff>
    </xdr:from>
    <xdr:to>
      <xdr:col>12</xdr:col>
      <xdr:colOff>350743</xdr:colOff>
      <xdr:row>196</xdr:row>
      <xdr:rowOff>119531</xdr:rowOff>
    </xdr:to>
    <xdr:pic>
      <xdr:nvPicPr>
        <xdr:cNvPr id="9" name="Billede 3">
          <a:extLst>
            <a:ext uri="{FF2B5EF4-FFF2-40B4-BE49-F238E27FC236}">
              <a16:creationId xmlns:a16="http://schemas.microsoft.com/office/drawing/2014/main" id="{8ECA7581-553F-4F46-A6BA-44E46DCC275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82608" y="36815433"/>
          <a:ext cx="2277782" cy="147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197</xdr:row>
      <xdr:rowOff>89647</xdr:rowOff>
    </xdr:from>
    <xdr:to>
      <xdr:col>12</xdr:col>
      <xdr:colOff>342900</xdr:colOff>
      <xdr:row>205</xdr:row>
      <xdr:rowOff>51920</xdr:rowOff>
    </xdr:to>
    <xdr:pic>
      <xdr:nvPicPr>
        <xdr:cNvPr id="10" name="Billede 3">
          <a:extLst>
            <a:ext uri="{FF2B5EF4-FFF2-40B4-BE49-F238E27FC236}">
              <a16:creationId xmlns:a16="http://schemas.microsoft.com/office/drawing/2014/main" id="{09AF17A7-091C-41FA-BE13-8079145CD847}"/>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74765" y="38451118"/>
          <a:ext cx="2277782" cy="151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fb t="e">#NAME?</fb>
    <v>4</v>
    <v>1</v>
  </rv>
  <rv s="1">
    <fb t="e">#NAME?</fb>
    <v>4</v>
    <v>1</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Q206"/>
  <sheetViews>
    <sheetView zoomScale="70" zoomScaleNormal="70" zoomScaleSheetLayoutView="55" zoomScalePageLayoutView="70" workbookViewId="0">
      <selection activeCell="C4" sqref="C4:K5"/>
    </sheetView>
  </sheetViews>
  <sheetFormatPr defaultColWidth="0" defaultRowHeight="0" customHeight="1" zeroHeight="1" x14ac:dyDescent="0.25"/>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7" ht="16.5" thickBot="1" x14ac:dyDescent="0.3"/>
    <row r="2" spans="1:17" s="6" customFormat="1" ht="37.5" customHeight="1" x14ac:dyDescent="0.25">
      <c r="A2" s="1"/>
      <c r="B2" s="2"/>
      <c r="C2" s="3"/>
      <c r="D2" s="3"/>
      <c r="E2" s="3"/>
      <c r="F2" s="3"/>
      <c r="G2" s="3"/>
      <c r="H2" s="3"/>
      <c r="I2" s="3"/>
      <c r="J2" s="51"/>
      <c r="K2" s="51"/>
      <c r="L2" s="51"/>
      <c r="M2" s="4"/>
      <c r="N2" s="1"/>
      <c r="O2" s="1"/>
      <c r="P2" s="1"/>
      <c r="Q2" s="5"/>
    </row>
    <row r="3" spans="1:17" s="6" customFormat="1" ht="38.25" customHeight="1" thickBot="1" x14ac:dyDescent="0.3">
      <c r="A3" s="1"/>
      <c r="B3" s="38"/>
      <c r="C3" s="212"/>
      <c r="D3" s="212"/>
      <c r="E3" s="212"/>
      <c r="F3" s="212"/>
      <c r="G3" s="212"/>
      <c r="H3" s="212"/>
      <c r="I3" s="212"/>
      <c r="J3" s="39"/>
      <c r="K3" s="39"/>
      <c r="L3" s="39"/>
      <c r="M3" s="41"/>
      <c r="N3" s="1"/>
      <c r="O3" s="1"/>
      <c r="P3" s="1"/>
      <c r="Q3" s="5"/>
    </row>
    <row r="4" spans="1:17" s="6" customFormat="1" ht="22.5" customHeight="1" x14ac:dyDescent="0.25">
      <c r="A4" s="10"/>
      <c r="B4" s="2"/>
      <c r="C4" s="213" t="s">
        <v>89</v>
      </c>
      <c r="D4" s="213"/>
      <c r="E4" s="213"/>
      <c r="F4" s="213"/>
      <c r="G4" s="213"/>
      <c r="H4" s="213"/>
      <c r="I4" s="213"/>
      <c r="J4" s="213"/>
      <c r="K4" s="213"/>
      <c r="L4" s="86"/>
      <c r="M4" s="48"/>
      <c r="N4" s="1"/>
      <c r="O4" s="1"/>
      <c r="P4" s="1"/>
      <c r="Q4" s="5"/>
    </row>
    <row r="5" spans="1:17" s="6" customFormat="1" ht="19.5" customHeight="1" x14ac:dyDescent="0.25">
      <c r="A5" s="10"/>
      <c r="B5" s="16"/>
      <c r="C5" s="214"/>
      <c r="D5" s="214"/>
      <c r="E5" s="214"/>
      <c r="F5" s="214"/>
      <c r="G5" s="214"/>
      <c r="H5" s="214"/>
      <c r="I5" s="214"/>
      <c r="J5" s="214"/>
      <c r="K5" s="214"/>
      <c r="L5" s="87"/>
      <c r="M5" s="46"/>
      <c r="N5" s="1"/>
      <c r="O5" s="1"/>
      <c r="P5" s="1"/>
      <c r="Q5" s="5"/>
    </row>
    <row r="6" spans="1:17" s="6" customFormat="1" ht="15.95" customHeight="1" x14ac:dyDescent="0.25">
      <c r="A6" s="10"/>
      <c r="B6" s="14"/>
      <c r="C6" s="9"/>
      <c r="D6" s="9"/>
      <c r="E6" s="9"/>
      <c r="F6" s="9"/>
      <c r="G6" s="10"/>
      <c r="H6" s="10"/>
      <c r="I6" s="10"/>
      <c r="J6" s="10"/>
      <c r="K6" s="10"/>
      <c r="L6" s="10"/>
      <c r="M6" s="11"/>
      <c r="N6" s="1"/>
      <c r="O6" s="1"/>
      <c r="P6" s="1"/>
      <c r="Q6" s="5"/>
    </row>
    <row r="7" spans="1:17" s="6" customFormat="1" ht="15.95" customHeight="1" x14ac:dyDescent="0.25">
      <c r="A7" s="10"/>
      <c r="B7" s="14"/>
      <c r="C7" s="47" t="s">
        <v>36</v>
      </c>
      <c r="D7" s="47"/>
      <c r="E7" s="9"/>
      <c r="F7" s="9"/>
      <c r="G7" s="10"/>
      <c r="H7" s="10"/>
      <c r="I7" s="10"/>
      <c r="J7" s="10"/>
      <c r="K7" s="10"/>
      <c r="L7" s="10"/>
      <c r="M7" s="11"/>
      <c r="N7" s="1"/>
      <c r="O7" s="1"/>
      <c r="P7" s="1"/>
      <c r="Q7" s="5"/>
    </row>
    <row r="8" spans="1:17" s="6" customFormat="1" ht="15.95" customHeight="1" x14ac:dyDescent="0.25">
      <c r="A8" s="10"/>
      <c r="B8" s="14"/>
      <c r="C8" s="215" t="s">
        <v>57</v>
      </c>
      <c r="D8" s="215"/>
      <c r="E8" s="215"/>
      <c r="F8" s="215"/>
      <c r="G8" s="215"/>
      <c r="H8" s="215"/>
      <c r="I8" s="215"/>
      <c r="J8" s="215"/>
      <c r="K8" s="215"/>
      <c r="L8" s="88"/>
      <c r="M8" s="11"/>
      <c r="N8" s="1"/>
      <c r="O8" s="1"/>
      <c r="P8" s="1"/>
      <c r="Q8" s="5"/>
    </row>
    <row r="9" spans="1:17" s="6" customFormat="1" ht="15.95" customHeight="1" x14ac:dyDescent="0.25">
      <c r="A9" s="10"/>
      <c r="B9" s="14"/>
      <c r="C9" s="52"/>
      <c r="D9" s="52"/>
      <c r="E9" s="52"/>
      <c r="F9" s="53"/>
      <c r="G9" s="10"/>
      <c r="H9" s="10"/>
      <c r="I9" s="10"/>
      <c r="J9" s="10"/>
      <c r="K9" s="10"/>
      <c r="L9" s="10"/>
      <c r="M9" s="11"/>
      <c r="N9" s="1"/>
      <c r="O9" s="1"/>
      <c r="P9" s="1"/>
      <c r="Q9" s="5"/>
    </row>
    <row r="10" spans="1:17" s="6" customFormat="1" ht="15.95" customHeight="1" x14ac:dyDescent="0.25">
      <c r="A10" s="10"/>
      <c r="B10" s="14"/>
      <c r="C10" s="52"/>
      <c r="D10" s="52"/>
      <c r="E10" s="52"/>
      <c r="F10" s="53"/>
      <c r="G10" s="10"/>
      <c r="H10" s="10"/>
      <c r="I10" s="10"/>
      <c r="J10" s="10"/>
      <c r="K10" s="10"/>
      <c r="L10" s="10"/>
      <c r="M10" s="11"/>
      <c r="N10" s="1"/>
      <c r="O10" s="1"/>
      <c r="P10" s="1"/>
      <c r="Q10" s="5"/>
    </row>
    <row r="11" spans="1:17" s="6" customFormat="1" ht="15.95" customHeight="1" x14ac:dyDescent="0.25">
      <c r="A11" s="10"/>
      <c r="B11" s="14"/>
      <c r="C11" s="52"/>
      <c r="D11" s="52"/>
      <c r="E11" s="52"/>
      <c r="F11" s="53"/>
      <c r="G11" s="10"/>
      <c r="H11" s="10"/>
      <c r="I11" s="10"/>
      <c r="J11" s="10"/>
      <c r="K11" s="10"/>
      <c r="L11" s="10"/>
      <c r="M11" s="11"/>
      <c r="N11" s="1"/>
      <c r="O11" s="1"/>
      <c r="P11" s="1"/>
      <c r="Q11" s="5"/>
    </row>
    <row r="12" spans="1:17" s="6" customFormat="1" ht="15.95" customHeight="1" x14ac:dyDescent="0.25">
      <c r="A12" s="10"/>
      <c r="B12" s="14"/>
      <c r="C12" s="52"/>
      <c r="D12" s="52"/>
      <c r="E12" s="52"/>
      <c r="F12" s="53"/>
      <c r="G12" s="10"/>
      <c r="H12" s="10"/>
      <c r="I12" s="10"/>
      <c r="J12" s="10"/>
      <c r="K12" s="10"/>
      <c r="L12" s="10"/>
      <c r="M12" s="11"/>
      <c r="N12" s="1"/>
      <c r="O12" s="1"/>
      <c r="P12" s="1"/>
      <c r="Q12" s="5"/>
    </row>
    <row r="13" spans="1:17" s="6" customFormat="1" ht="15.95" customHeight="1" x14ac:dyDescent="0.25">
      <c r="A13" s="10"/>
      <c r="B13" s="14"/>
      <c r="C13" s="52"/>
      <c r="D13" s="52"/>
      <c r="E13" s="52"/>
      <c r="F13" s="53"/>
      <c r="G13" s="10"/>
      <c r="H13" s="10"/>
      <c r="I13" s="10"/>
      <c r="J13" s="10"/>
      <c r="K13" s="10"/>
      <c r="L13" s="10"/>
      <c r="M13" s="11"/>
      <c r="N13" s="1"/>
      <c r="O13" s="1"/>
      <c r="P13" s="1"/>
      <c r="Q13" s="5"/>
    </row>
    <row r="14" spans="1:17" s="6" customFormat="1" ht="15.95" customHeight="1" x14ac:dyDescent="0.25">
      <c r="A14" s="10"/>
      <c r="B14" s="14"/>
      <c r="C14" s="52"/>
      <c r="D14" s="52"/>
      <c r="E14" s="52"/>
      <c r="F14" s="53"/>
      <c r="G14" s="10"/>
      <c r="H14" s="10"/>
      <c r="I14" s="10"/>
      <c r="J14" s="10"/>
      <c r="K14" s="10"/>
      <c r="L14" s="10"/>
      <c r="M14" s="11"/>
      <c r="N14" s="1"/>
      <c r="O14" s="1"/>
      <c r="P14" s="1"/>
      <c r="Q14" s="5"/>
    </row>
    <row r="15" spans="1:17" s="6" customFormat="1" ht="15.95" customHeight="1" x14ac:dyDescent="0.25">
      <c r="A15" s="10"/>
      <c r="B15" s="14"/>
      <c r="C15" s="52"/>
      <c r="D15" s="52"/>
      <c r="E15" s="52"/>
      <c r="F15" s="53"/>
      <c r="G15" s="10"/>
      <c r="H15" s="10"/>
      <c r="I15" s="10"/>
      <c r="J15" s="10"/>
      <c r="K15" s="10"/>
      <c r="L15" s="10"/>
      <c r="M15" s="11"/>
      <c r="N15" s="1"/>
      <c r="O15" s="1"/>
      <c r="P15" s="1"/>
      <c r="Q15" s="5"/>
    </row>
    <row r="16" spans="1:17" s="6" customFormat="1" ht="15.95" customHeight="1" x14ac:dyDescent="0.25">
      <c r="A16" s="10"/>
      <c r="B16" s="14"/>
      <c r="C16" s="12"/>
      <c r="D16" s="12"/>
      <c r="E16" s="12"/>
      <c r="F16" s="10"/>
      <c r="G16" s="13"/>
      <c r="H16" s="13"/>
      <c r="I16" s="10"/>
      <c r="J16" s="10"/>
      <c r="K16" s="10"/>
      <c r="L16" s="10"/>
      <c r="M16" s="11"/>
      <c r="N16" s="1"/>
      <c r="O16" s="1"/>
      <c r="P16" s="1"/>
      <c r="Q16" s="5"/>
    </row>
    <row r="17" spans="1:17" s="6" customFormat="1" ht="15.95" customHeight="1" x14ac:dyDescent="0.25">
      <c r="A17" s="10"/>
      <c r="B17" s="14"/>
      <c r="C17" s="10"/>
      <c r="D17" s="10"/>
      <c r="E17" s="10"/>
      <c r="F17" s="50"/>
      <c r="G17" s="13"/>
      <c r="H17" s="13"/>
      <c r="I17" s="10"/>
      <c r="J17" s="10"/>
      <c r="K17" s="10"/>
      <c r="L17" s="10"/>
      <c r="M17" s="11"/>
      <c r="N17" s="1"/>
      <c r="O17" s="1"/>
      <c r="P17" s="1"/>
      <c r="Q17" s="5"/>
    </row>
    <row r="18" spans="1:17" s="6" customFormat="1" ht="15.95" customHeight="1" x14ac:dyDescent="0.25">
      <c r="A18" s="10"/>
      <c r="B18" s="14"/>
      <c r="C18" s="10"/>
      <c r="D18" s="10"/>
      <c r="E18" s="10"/>
      <c r="F18" s="50"/>
      <c r="G18" s="13"/>
      <c r="H18" s="13"/>
      <c r="I18" s="10"/>
      <c r="J18" s="10"/>
      <c r="K18" s="10"/>
      <c r="L18" s="10"/>
      <c r="M18" s="11"/>
      <c r="N18" s="1"/>
      <c r="O18" s="1"/>
      <c r="P18" s="1"/>
      <c r="Q18" s="5"/>
    </row>
    <row r="19" spans="1:17" s="6" customFormat="1" ht="15.95" customHeight="1" x14ac:dyDescent="0.25">
      <c r="A19" s="10"/>
      <c r="B19" s="14"/>
      <c r="C19" s="10"/>
      <c r="D19" s="10"/>
      <c r="E19" s="10"/>
      <c r="F19" s="50"/>
      <c r="G19" s="13"/>
      <c r="H19" s="13"/>
      <c r="I19" s="10"/>
      <c r="J19" s="10"/>
      <c r="K19" s="10"/>
      <c r="L19" s="10"/>
      <c r="M19" s="11"/>
      <c r="N19" s="1"/>
      <c r="O19" s="1"/>
      <c r="P19" s="1"/>
      <c r="Q19" s="5"/>
    </row>
    <row r="20" spans="1:17" s="6" customFormat="1" ht="15.95" customHeight="1" x14ac:dyDescent="0.25">
      <c r="A20" s="10"/>
      <c r="B20" s="14"/>
      <c r="C20" s="10"/>
      <c r="D20" s="10"/>
      <c r="E20" s="10"/>
      <c r="F20" s="50"/>
      <c r="G20" s="13"/>
      <c r="H20" s="13"/>
      <c r="I20" s="10"/>
      <c r="J20" s="10"/>
      <c r="K20" s="10"/>
      <c r="L20" s="10"/>
      <c r="M20" s="11"/>
      <c r="N20" s="1"/>
      <c r="O20" s="1"/>
      <c r="P20" s="1"/>
      <c r="Q20" s="5"/>
    </row>
    <row r="21" spans="1:17" s="6" customFormat="1" ht="15.95" customHeight="1" x14ac:dyDescent="0.25">
      <c r="A21" s="10"/>
      <c r="B21" s="14"/>
      <c r="C21" s="10"/>
      <c r="D21" s="10"/>
      <c r="E21" s="10"/>
      <c r="F21" s="10"/>
      <c r="G21" s="13"/>
      <c r="H21" s="13"/>
      <c r="I21" s="10"/>
      <c r="J21" s="10"/>
      <c r="K21" s="10"/>
      <c r="L21" s="10"/>
      <c r="M21" s="11"/>
      <c r="N21" s="1"/>
      <c r="O21" s="1"/>
      <c r="P21" s="1"/>
      <c r="Q21" s="5"/>
    </row>
    <row r="22" spans="1:17" ht="15.95" customHeight="1" x14ac:dyDescent="0.25">
      <c r="A22" s="10"/>
      <c r="B22" s="14"/>
      <c r="C22" s="10"/>
      <c r="D22" s="10"/>
      <c r="E22" s="10"/>
      <c r="F22" s="10"/>
      <c r="G22" s="10"/>
      <c r="H22" s="10"/>
      <c r="I22" s="10"/>
      <c r="J22" s="10"/>
      <c r="K22" s="10"/>
      <c r="L22" s="10"/>
      <c r="M22" s="11"/>
    </row>
    <row r="23" spans="1:17" s="6" customFormat="1" ht="15.95" customHeight="1" x14ac:dyDescent="0.25">
      <c r="A23" s="10"/>
      <c r="B23" s="14"/>
      <c r="C23" s="12"/>
      <c r="D23" s="12"/>
      <c r="E23" s="9"/>
      <c r="F23" s="10"/>
      <c r="G23" s="13"/>
      <c r="H23" s="13"/>
      <c r="I23" s="10"/>
      <c r="J23" s="10"/>
      <c r="K23" s="10"/>
      <c r="L23" s="10"/>
      <c r="M23" s="11"/>
      <c r="N23" s="1"/>
      <c r="O23" s="1"/>
      <c r="P23" s="1"/>
      <c r="Q23" s="5"/>
    </row>
    <row r="24" spans="1:17" s="6" customFormat="1" ht="15.95" customHeight="1" x14ac:dyDescent="0.25">
      <c r="A24" s="10"/>
      <c r="B24" s="14"/>
      <c r="C24" s="10"/>
      <c r="D24" s="10"/>
      <c r="E24" s="10"/>
      <c r="F24" s="10"/>
      <c r="G24" s="13"/>
      <c r="H24" s="13"/>
      <c r="I24" s="10"/>
      <c r="J24" s="10"/>
      <c r="K24" s="10"/>
      <c r="L24" s="10"/>
      <c r="M24" s="11"/>
      <c r="N24" s="1"/>
      <c r="O24" s="1"/>
      <c r="P24" s="1"/>
      <c r="Q24" s="5"/>
    </row>
    <row r="25" spans="1:17" s="6" customFormat="1" ht="15.95" customHeight="1" x14ac:dyDescent="0.25">
      <c r="A25" s="10"/>
      <c r="B25" s="14"/>
      <c r="C25" s="10"/>
      <c r="D25" s="10"/>
      <c r="E25" s="10"/>
      <c r="F25" s="10"/>
      <c r="G25" s="13"/>
      <c r="H25" s="13"/>
      <c r="I25" s="10"/>
      <c r="J25" s="10"/>
      <c r="K25" s="10"/>
      <c r="L25" s="10"/>
      <c r="M25" s="11"/>
      <c r="N25" s="1"/>
      <c r="O25" s="1"/>
      <c r="P25" s="1"/>
      <c r="Q25" s="5"/>
    </row>
    <row r="26" spans="1:17" s="6" customFormat="1" ht="15.95" customHeight="1" x14ac:dyDescent="0.25">
      <c r="A26" s="10"/>
      <c r="B26" s="14"/>
      <c r="C26" s="10"/>
      <c r="D26" s="10"/>
      <c r="E26" s="10"/>
      <c r="F26" s="10"/>
      <c r="G26" s="13"/>
      <c r="H26" s="13"/>
      <c r="I26" s="10"/>
      <c r="J26" s="10"/>
      <c r="K26" s="10"/>
      <c r="L26" s="10"/>
      <c r="M26" s="11"/>
      <c r="N26" s="1"/>
      <c r="O26" s="1"/>
      <c r="P26" s="1"/>
      <c r="Q26" s="5"/>
    </row>
    <row r="27" spans="1:17" s="6" customFormat="1" ht="15.95" customHeight="1" x14ac:dyDescent="0.25">
      <c r="A27" s="10"/>
      <c r="B27" s="14"/>
      <c r="C27" s="10"/>
      <c r="D27" s="10"/>
      <c r="E27" s="10"/>
      <c r="F27" s="10"/>
      <c r="G27" s="13"/>
      <c r="H27" s="13"/>
      <c r="I27" s="10"/>
      <c r="J27" s="10"/>
      <c r="K27" s="10"/>
      <c r="L27" s="10"/>
      <c r="M27" s="11"/>
      <c r="N27" s="1"/>
      <c r="O27" s="1"/>
      <c r="P27" s="1"/>
      <c r="Q27" s="5"/>
    </row>
    <row r="28" spans="1:17" s="6" customFormat="1" ht="15.95" customHeight="1" x14ac:dyDescent="0.25">
      <c r="A28" s="10"/>
      <c r="B28" s="14"/>
      <c r="C28" s="9"/>
      <c r="D28" s="9"/>
      <c r="E28" s="9"/>
      <c r="F28" s="10"/>
      <c r="G28" s="13"/>
      <c r="H28" s="13"/>
      <c r="I28" s="10"/>
      <c r="J28" s="10"/>
      <c r="K28" s="10"/>
      <c r="L28" s="10"/>
      <c r="M28" s="11"/>
      <c r="N28" s="1"/>
      <c r="O28" s="1"/>
      <c r="P28" s="1"/>
      <c r="Q28" s="5"/>
    </row>
    <row r="29" spans="1:17" s="6" customFormat="1" ht="15.95" customHeight="1" x14ac:dyDescent="0.25">
      <c r="A29" s="10"/>
      <c r="B29" s="14"/>
      <c r="C29" s="9"/>
      <c r="D29" s="9"/>
      <c r="E29" s="9"/>
      <c r="F29" s="10"/>
      <c r="G29" s="13"/>
      <c r="H29" s="13"/>
      <c r="I29" s="10"/>
      <c r="J29" s="10"/>
      <c r="K29" s="10"/>
      <c r="L29" s="10"/>
      <c r="M29" s="11"/>
      <c r="N29" s="1"/>
      <c r="O29" s="1"/>
      <c r="P29" s="1"/>
      <c r="Q29" s="5"/>
    </row>
    <row r="30" spans="1:17" s="6" customFormat="1" ht="15.95" customHeight="1" x14ac:dyDescent="0.25">
      <c r="A30" s="10"/>
      <c r="B30" s="14"/>
      <c r="C30" s="10"/>
      <c r="D30" s="10"/>
      <c r="E30" s="10"/>
      <c r="F30" s="10"/>
      <c r="G30" s="23"/>
      <c r="H30" s="23"/>
      <c r="I30" s="10"/>
      <c r="J30" s="10"/>
      <c r="K30" s="10"/>
      <c r="L30" s="10"/>
      <c r="M30" s="11"/>
      <c r="N30" s="1"/>
      <c r="O30" s="1"/>
      <c r="P30" s="1"/>
      <c r="Q30" s="5"/>
    </row>
    <row r="31" spans="1:17" s="6" customFormat="1" ht="15.95" customHeight="1" x14ac:dyDescent="0.25">
      <c r="A31" s="10"/>
      <c r="B31" s="14"/>
      <c r="C31" s="9"/>
      <c r="D31" s="9"/>
      <c r="E31" s="9"/>
      <c r="F31" s="10"/>
      <c r="G31" s="13"/>
      <c r="H31" s="13"/>
      <c r="I31" s="10"/>
      <c r="J31" s="10"/>
      <c r="K31" s="10"/>
      <c r="L31" s="10"/>
      <c r="M31" s="11"/>
      <c r="N31" s="1"/>
      <c r="O31" s="1"/>
      <c r="P31" s="1"/>
      <c r="Q31" s="5"/>
    </row>
    <row r="32" spans="1:17" s="6" customFormat="1" ht="15.95" customHeight="1" x14ac:dyDescent="0.25">
      <c r="A32" s="10"/>
      <c r="B32" s="14"/>
      <c r="C32" s="10"/>
      <c r="D32" s="10"/>
      <c r="E32" s="10"/>
      <c r="F32" s="24"/>
      <c r="G32" s="13"/>
      <c r="H32" s="13"/>
      <c r="I32" s="10"/>
      <c r="J32" s="10"/>
      <c r="K32" s="10"/>
      <c r="L32" s="10"/>
      <c r="M32" s="11"/>
      <c r="N32" s="1"/>
      <c r="O32" s="1"/>
      <c r="P32" s="1"/>
      <c r="Q32" s="5"/>
    </row>
    <row r="33" spans="1:17" s="6" customFormat="1" ht="15.95" customHeight="1" x14ac:dyDescent="0.25">
      <c r="A33" s="10"/>
      <c r="B33" s="14"/>
      <c r="C33" s="9"/>
      <c r="D33" s="9"/>
      <c r="E33" s="9"/>
      <c r="F33" s="10"/>
      <c r="G33" s="13"/>
      <c r="H33" s="13"/>
      <c r="I33" s="10"/>
      <c r="J33" s="10"/>
      <c r="K33" s="10"/>
      <c r="L33" s="10"/>
      <c r="M33" s="11"/>
      <c r="N33" s="1"/>
      <c r="O33" s="1"/>
      <c r="P33" s="1"/>
      <c r="Q33" s="5"/>
    </row>
    <row r="34" spans="1:17" s="6" customFormat="1" ht="15.95" customHeight="1" x14ac:dyDescent="0.25">
      <c r="A34" s="10"/>
      <c r="B34" s="14"/>
      <c r="C34" s="10"/>
      <c r="D34" s="10"/>
      <c r="E34" s="10"/>
      <c r="F34" s="10"/>
      <c r="G34" s="13"/>
      <c r="H34" s="13"/>
      <c r="I34" s="10"/>
      <c r="J34" s="10"/>
      <c r="K34" s="10"/>
      <c r="L34" s="10"/>
      <c r="M34" s="11"/>
      <c r="N34" s="1"/>
      <c r="O34" s="1"/>
      <c r="P34" s="1"/>
      <c r="Q34" s="5"/>
    </row>
    <row r="35" spans="1:17" s="6" customFormat="1" ht="15.95" customHeight="1" x14ac:dyDescent="0.25">
      <c r="A35" s="10"/>
      <c r="B35" s="14"/>
      <c r="C35" s="10"/>
      <c r="D35" s="10"/>
      <c r="E35" s="10"/>
      <c r="F35" s="10"/>
      <c r="G35" s="13"/>
      <c r="H35" s="13"/>
      <c r="I35" s="10"/>
      <c r="J35" s="10"/>
      <c r="K35" s="10"/>
      <c r="L35" s="10"/>
      <c r="M35" s="11"/>
      <c r="N35" s="1"/>
      <c r="O35" s="1"/>
      <c r="P35" s="1"/>
      <c r="Q35" s="5"/>
    </row>
    <row r="36" spans="1:17" s="6" customFormat="1" ht="15.95" customHeight="1" x14ac:dyDescent="0.25">
      <c r="A36" s="10"/>
      <c r="B36" s="14"/>
      <c r="C36" s="10"/>
      <c r="D36" s="10"/>
      <c r="E36" s="10"/>
      <c r="F36" s="10"/>
      <c r="G36" s="13"/>
      <c r="H36" s="13"/>
      <c r="I36" s="10"/>
      <c r="J36" s="10"/>
      <c r="K36" s="10"/>
      <c r="L36" s="10"/>
      <c r="M36" s="11"/>
      <c r="N36" s="1"/>
      <c r="O36" s="1"/>
      <c r="P36" s="1"/>
      <c r="Q36" s="5"/>
    </row>
    <row r="37" spans="1:17" s="6" customFormat="1" ht="15.95" customHeight="1" x14ac:dyDescent="0.25">
      <c r="A37" s="10"/>
      <c r="B37" s="14"/>
      <c r="C37" s="10"/>
      <c r="D37" s="10"/>
      <c r="E37" s="10"/>
      <c r="F37" s="10"/>
      <c r="G37" s="13"/>
      <c r="H37" s="13"/>
      <c r="I37" s="10"/>
      <c r="J37" s="10"/>
      <c r="K37" s="10"/>
      <c r="L37" s="10"/>
      <c r="M37" s="11"/>
      <c r="N37" s="1"/>
      <c r="O37" s="1"/>
      <c r="P37" s="1"/>
      <c r="Q37" s="5"/>
    </row>
    <row r="38" spans="1:17" s="6" customFormat="1" ht="15.95" customHeight="1" x14ac:dyDescent="0.25">
      <c r="A38" s="10"/>
      <c r="B38" s="14"/>
      <c r="C38" s="10"/>
      <c r="D38" s="10"/>
      <c r="E38" s="10"/>
      <c r="F38" s="10"/>
      <c r="G38" s="23"/>
      <c r="H38" s="23"/>
      <c r="I38" s="10"/>
      <c r="J38" s="10"/>
      <c r="K38" s="10"/>
      <c r="L38" s="10"/>
      <c r="M38" s="11"/>
      <c r="N38" s="1"/>
      <c r="O38" s="1"/>
      <c r="P38" s="1"/>
      <c r="Q38" s="5"/>
    </row>
    <row r="39" spans="1:17" s="6" customFormat="1" ht="15.95" customHeight="1" x14ac:dyDescent="0.25">
      <c r="A39" s="10"/>
      <c r="B39" s="14"/>
      <c r="C39" s="10"/>
      <c r="D39" s="10"/>
      <c r="E39" s="10"/>
      <c r="F39" s="10"/>
      <c r="G39" s="23"/>
      <c r="H39" s="23"/>
      <c r="I39" s="10"/>
      <c r="J39" s="10"/>
      <c r="K39" s="10"/>
      <c r="L39" s="10"/>
      <c r="M39" s="11"/>
      <c r="N39" s="1"/>
      <c r="O39" s="1"/>
      <c r="P39" s="1"/>
      <c r="Q39" s="5"/>
    </row>
    <row r="40" spans="1:17" s="6" customFormat="1" ht="15.95" customHeight="1" x14ac:dyDescent="0.25">
      <c r="A40" s="10"/>
      <c r="B40" s="14"/>
      <c r="C40" s="10"/>
      <c r="D40" s="10"/>
      <c r="E40" s="10"/>
      <c r="F40" s="10"/>
      <c r="G40" s="23"/>
      <c r="H40" s="23"/>
      <c r="I40" s="10"/>
      <c r="J40" s="10"/>
      <c r="K40" s="10"/>
      <c r="L40" s="10"/>
      <c r="M40" s="11"/>
      <c r="N40" s="1"/>
      <c r="O40" s="1"/>
      <c r="P40" s="1"/>
      <c r="Q40" s="5"/>
    </row>
    <row r="41" spans="1:17" s="6" customFormat="1" ht="37.5" customHeight="1" x14ac:dyDescent="0.25">
      <c r="A41" s="10"/>
      <c r="B41" s="14"/>
      <c r="C41" s="10"/>
      <c r="D41" s="10"/>
      <c r="E41" s="10"/>
      <c r="F41" s="10"/>
      <c r="G41" s="10"/>
      <c r="H41" s="10"/>
      <c r="I41" s="10"/>
      <c r="J41" s="10"/>
      <c r="K41" s="64"/>
      <c r="L41" s="64"/>
      <c r="M41" s="11"/>
      <c r="N41" s="1"/>
      <c r="O41" s="1"/>
      <c r="P41" s="1"/>
      <c r="Q41" s="5"/>
    </row>
    <row r="42" spans="1:17" s="6" customFormat="1" ht="37.5" customHeight="1" x14ac:dyDescent="0.25">
      <c r="A42" s="10"/>
      <c r="B42" s="14"/>
      <c r="C42" s="10"/>
      <c r="D42" s="10"/>
      <c r="E42" s="10"/>
      <c r="F42" s="10"/>
      <c r="G42" s="10"/>
      <c r="H42" s="10"/>
      <c r="I42" s="10"/>
      <c r="J42" s="10"/>
      <c r="K42" s="64"/>
      <c r="L42" s="64"/>
      <c r="M42" s="11"/>
      <c r="N42" s="1"/>
      <c r="O42" s="1"/>
      <c r="P42" s="1"/>
      <c r="Q42" s="5"/>
    </row>
    <row r="43" spans="1:17" s="6" customFormat="1" ht="15" customHeight="1" x14ac:dyDescent="0.25">
      <c r="A43" s="10"/>
      <c r="B43" s="14"/>
      <c r="C43" s="10"/>
      <c r="D43" s="10"/>
      <c r="E43" s="10"/>
      <c r="F43" s="10"/>
      <c r="G43" s="10"/>
      <c r="H43" s="10"/>
      <c r="I43" s="10"/>
      <c r="J43" s="10"/>
      <c r="K43" s="64"/>
      <c r="L43" s="64"/>
      <c r="M43" s="11"/>
      <c r="N43" s="1"/>
      <c r="O43" s="1"/>
      <c r="P43" s="1"/>
      <c r="Q43" s="5"/>
    </row>
    <row r="44" spans="1:17" s="6" customFormat="1" ht="15" customHeight="1" x14ac:dyDescent="0.25">
      <c r="A44" s="10"/>
      <c r="B44" s="14"/>
      <c r="C44" s="10"/>
      <c r="D44" s="10"/>
      <c r="E44" s="10"/>
      <c r="F44" s="10"/>
      <c r="G44" s="10"/>
      <c r="H44" s="10"/>
      <c r="I44" s="10"/>
      <c r="J44" s="10"/>
      <c r="K44" s="10"/>
      <c r="L44" s="10"/>
      <c r="M44" s="11"/>
      <c r="N44" s="1"/>
      <c r="O44" s="1"/>
      <c r="P44" s="1"/>
      <c r="Q44" s="5"/>
    </row>
    <row r="45" spans="1:17" s="6" customFormat="1" ht="15" customHeight="1" x14ac:dyDescent="0.25">
      <c r="A45" s="10"/>
      <c r="B45" s="14"/>
      <c r="C45" s="10"/>
      <c r="D45" s="10"/>
      <c r="E45" s="10"/>
      <c r="F45" s="10"/>
      <c r="G45" s="10"/>
      <c r="H45" s="10"/>
      <c r="I45" s="10"/>
      <c r="J45" s="10"/>
      <c r="K45" s="10"/>
      <c r="L45" s="10"/>
      <c r="M45" s="11"/>
      <c r="N45" s="1"/>
      <c r="O45" s="1"/>
      <c r="P45" s="1"/>
      <c r="Q45" s="5"/>
    </row>
    <row r="46" spans="1:17" s="6" customFormat="1" ht="15.75" customHeight="1" x14ac:dyDescent="0.25">
      <c r="A46" s="10"/>
      <c r="B46" s="14"/>
      <c r="C46" s="10"/>
      <c r="D46" s="125"/>
      <c r="E46" s="125"/>
      <c r="F46" s="125"/>
      <c r="G46" s="125"/>
      <c r="H46" s="125"/>
      <c r="I46" s="125"/>
      <c r="J46" s="125"/>
      <c r="K46" s="125"/>
      <c r="L46" s="64"/>
      <c r="M46" s="11"/>
      <c r="N46" s="1"/>
      <c r="O46" s="1"/>
      <c r="P46" s="1"/>
      <c r="Q46" s="5"/>
    </row>
    <row r="47" spans="1:17" s="6" customFormat="1" ht="15.75" customHeight="1" x14ac:dyDescent="0.25">
      <c r="A47" s="10"/>
      <c r="B47" s="14"/>
      <c r="C47" s="10"/>
      <c r="D47" s="206" t="s">
        <v>203</v>
      </c>
      <c r="E47" s="152"/>
      <c r="F47" s="152"/>
      <c r="G47" s="152"/>
      <c r="H47" s="211" t="s">
        <v>292</v>
      </c>
      <c r="I47" s="211"/>
      <c r="J47" s="152"/>
      <c r="L47" s="170"/>
      <c r="M47" s="11"/>
      <c r="N47" s="1"/>
      <c r="O47" s="1"/>
      <c r="P47" s="1"/>
      <c r="Q47" s="5"/>
    </row>
    <row r="48" spans="1:17" s="6" customFormat="1" ht="15.75" customHeight="1" x14ac:dyDescent="0.25">
      <c r="A48" s="10"/>
      <c r="B48" s="14"/>
      <c r="C48" s="10"/>
      <c r="D48" s="186" t="str">
        <f>Prisberegner!C112</f>
        <v>Ved tilslutning (år 1)</v>
      </c>
      <c r="E48" s="148"/>
      <c r="F48" s="150"/>
      <c r="G48" s="150"/>
      <c r="H48" s="187">
        <f>Prisberegner!E112</f>
        <v>8737.0081725487034</v>
      </c>
      <c r="I48" s="148"/>
      <c r="J48" s="150"/>
      <c r="K48" s="210" t="s">
        <v>236</v>
      </c>
      <c r="L48" s="210"/>
      <c r="M48" s="11"/>
      <c r="N48" s="1"/>
      <c r="O48" s="1"/>
      <c r="P48" s="1"/>
      <c r="Q48" s="5"/>
    </row>
    <row r="49" spans="1:17" s="6" customFormat="1" ht="15.95" customHeight="1" x14ac:dyDescent="0.25">
      <c r="A49" s="10"/>
      <c r="B49" s="14"/>
      <c r="C49" s="10"/>
      <c r="D49" s="186" t="e" vm="1">
        <f ca="1">Prisberegner!C113</f>
        <v>#NAME?</v>
      </c>
      <c r="E49" s="148"/>
      <c r="F49" s="150"/>
      <c r="G49" s="150"/>
      <c r="H49" s="187" t="e" vm="1">
        <f ca="1">Prisberegner!E113</f>
        <v>#NAME?</v>
      </c>
      <c r="I49" s="150"/>
      <c r="J49" s="151"/>
      <c r="K49" s="210"/>
      <c r="L49" s="210"/>
      <c r="M49" s="11"/>
      <c r="N49" s="1"/>
      <c r="O49" s="1"/>
      <c r="P49" s="1"/>
      <c r="Q49" s="5"/>
    </row>
    <row r="50" spans="1:17" s="6" customFormat="1" ht="15.95" customHeight="1" x14ac:dyDescent="0.25">
      <c r="A50" s="10"/>
      <c r="B50" s="14"/>
      <c r="C50" s="10"/>
      <c r="D50" s="186" t="e" vm="1">
        <f ca="1">Prisberegner!C114</f>
        <v>#NAME?</v>
      </c>
      <c r="E50" s="148"/>
      <c r="F50" s="150"/>
      <c r="G50" s="150"/>
      <c r="H50" s="187" t="e" vm="1">
        <f ca="1">Prisberegner!E114</f>
        <v>#NAME?</v>
      </c>
      <c r="I50" s="150"/>
      <c r="J50" s="151"/>
      <c r="K50" s="210"/>
      <c r="L50" s="210"/>
      <c r="M50" s="11"/>
      <c r="N50" s="1"/>
      <c r="O50" s="1"/>
      <c r="P50" s="1"/>
      <c r="Q50" s="5"/>
    </row>
    <row r="51" spans="1:17" s="6" customFormat="1" ht="15.95" customHeight="1" x14ac:dyDescent="0.25">
      <c r="A51" s="10"/>
      <c r="B51" s="14"/>
      <c r="C51" s="10"/>
      <c r="D51" s="186" t="e" vm="1">
        <f ca="1">Prisberegner!C115</f>
        <v>#NAME?</v>
      </c>
      <c r="E51" s="148"/>
      <c r="F51" s="150"/>
      <c r="G51" s="150"/>
      <c r="H51" s="187" t="e" vm="1">
        <f ca="1">Prisberegner!E115</f>
        <v>#NAME?</v>
      </c>
      <c r="I51" s="150"/>
      <c r="J51" s="151"/>
      <c r="K51" s="210"/>
      <c r="L51" s="210"/>
      <c r="M51" s="11"/>
      <c r="N51" s="1"/>
      <c r="O51" s="1"/>
      <c r="P51" s="1"/>
      <c r="Q51" s="5"/>
    </row>
    <row r="52" spans="1:17" s="6" customFormat="1" ht="15.95" customHeight="1" x14ac:dyDescent="0.25">
      <c r="A52" s="10"/>
      <c r="B52" s="14"/>
      <c r="C52" s="10"/>
      <c r="D52" s="186" t="e" vm="1">
        <f ca="1">Prisberegner!C116</f>
        <v>#NAME?</v>
      </c>
      <c r="E52" s="148"/>
      <c r="F52" s="150"/>
      <c r="G52" s="150"/>
      <c r="H52" s="187" t="e" vm="1">
        <f ca="1">Prisberegner!E116</f>
        <v>#NAME?</v>
      </c>
      <c r="I52" s="150"/>
      <c r="J52" s="151"/>
      <c r="K52" s="210"/>
      <c r="L52" s="210"/>
      <c r="M52" s="11"/>
      <c r="N52" s="1"/>
      <c r="O52" s="1"/>
      <c r="P52" s="1"/>
      <c r="Q52" s="5"/>
    </row>
    <row r="53" spans="1:17" s="6" customFormat="1" ht="15.95" customHeight="1" x14ac:dyDescent="0.25">
      <c r="A53" s="10"/>
      <c r="B53" s="14"/>
      <c r="C53" s="61"/>
      <c r="D53" s="1"/>
      <c r="E53" s="1"/>
      <c r="F53" s="10"/>
      <c r="G53" s="10"/>
      <c r="H53" s="10"/>
      <c r="I53" s="10"/>
      <c r="J53" s="146"/>
      <c r="K53" s="170"/>
      <c r="L53" s="170"/>
      <c r="M53" s="11"/>
      <c r="N53" s="1"/>
      <c r="O53" s="1"/>
      <c r="P53" s="1"/>
      <c r="Q53" s="5"/>
    </row>
    <row r="54" spans="1:17" s="6" customFormat="1" ht="15.95" customHeight="1" x14ac:dyDescent="0.25">
      <c r="A54" s="10"/>
      <c r="B54" s="14"/>
      <c r="C54" s="61"/>
      <c r="D54" s="207" t="s">
        <v>204</v>
      </c>
      <c r="E54" s="148"/>
      <c r="F54" s="150"/>
      <c r="G54" s="150"/>
      <c r="H54" s="150"/>
      <c r="I54" s="150"/>
      <c r="J54" s="151"/>
      <c r="K54" s="170"/>
      <c r="L54" s="170"/>
      <c r="M54" s="11"/>
      <c r="N54" s="1"/>
      <c r="O54" s="1"/>
      <c r="P54" s="1"/>
      <c r="Q54" s="5"/>
    </row>
    <row r="55" spans="1:17" s="6" customFormat="1" ht="15.95" customHeight="1" x14ac:dyDescent="0.25">
      <c r="A55" s="10"/>
      <c r="B55" s="14"/>
      <c r="C55" s="62"/>
      <c r="D55" s="150" t="s">
        <v>219</v>
      </c>
      <c r="E55" s="150"/>
      <c r="F55" s="152"/>
      <c r="G55" s="152"/>
      <c r="H55" s="188">
        <f>Prisberegner!E118</f>
        <v>12701.117959429384</v>
      </c>
      <c r="I55" s="150" t="s">
        <v>23</v>
      </c>
      <c r="J55" s="152"/>
      <c r="K55" s="210" t="s">
        <v>291</v>
      </c>
      <c r="L55" s="210"/>
      <c r="M55" s="11"/>
      <c r="N55" s="1"/>
      <c r="O55" s="1"/>
      <c r="P55" s="1"/>
      <c r="Q55" s="5"/>
    </row>
    <row r="56" spans="1:17" s="6" customFormat="1" ht="15.95" customHeight="1" x14ac:dyDescent="0.25">
      <c r="A56" s="10"/>
      <c r="B56" s="14"/>
      <c r="C56" s="62"/>
      <c r="D56" s="150" t="s">
        <v>202</v>
      </c>
      <c r="E56" s="150"/>
      <c r="F56" s="152"/>
      <c r="G56" s="152"/>
      <c r="H56" s="188">
        <f>Prisberegner!E97+Prisberegner!E91</f>
        <v>65000</v>
      </c>
      <c r="I56" s="150" t="s">
        <v>2</v>
      </c>
      <c r="J56" s="152"/>
      <c r="K56" s="210"/>
      <c r="L56" s="210"/>
      <c r="M56" s="11"/>
      <c r="N56" s="1"/>
      <c r="O56" s="1"/>
      <c r="P56" s="1"/>
      <c r="Q56" s="5"/>
    </row>
    <row r="57" spans="1:17" s="6" customFormat="1" ht="15.95" customHeight="1" x14ac:dyDescent="0.25">
      <c r="A57" s="10"/>
      <c r="B57" s="14"/>
      <c r="C57" s="61"/>
      <c r="D57" s="150" t="s">
        <v>195</v>
      </c>
      <c r="E57" s="150"/>
      <c r="F57" s="152"/>
      <c r="G57" s="152"/>
      <c r="H57" s="189">
        <f>Prisberegner!E120</f>
        <v>5.1176597373260062</v>
      </c>
      <c r="I57" s="153" t="s">
        <v>27</v>
      </c>
      <c r="J57" s="152"/>
      <c r="K57" s="210"/>
      <c r="L57" s="210"/>
      <c r="M57" s="11"/>
      <c r="N57" s="1"/>
      <c r="O57" s="1"/>
      <c r="P57" s="1"/>
      <c r="Q57" s="5"/>
    </row>
    <row r="58" spans="1:17" s="6" customFormat="1" ht="15.95" customHeight="1" x14ac:dyDescent="0.25">
      <c r="A58" s="10"/>
      <c r="B58" s="14"/>
      <c r="C58" s="61"/>
      <c r="D58" s="149" t="str">
        <f>"-&gt; Med indregnet investering i ny gaskedel på "&amp;Prisberegner!E51&amp;" kr."</f>
        <v>-&gt; Med indregnet investering i ny gaskedel på 25000 kr.</v>
      </c>
      <c r="E58" s="150"/>
      <c r="F58" s="152"/>
      <c r="G58" s="152"/>
      <c r="H58" s="189">
        <f>Prisberegner!E121</f>
        <v>3.1493290691236959</v>
      </c>
      <c r="I58" s="153" t="s">
        <v>27</v>
      </c>
      <c r="J58" s="152"/>
      <c r="K58" s="203"/>
      <c r="L58" s="203"/>
      <c r="M58" s="11"/>
      <c r="N58" s="1"/>
      <c r="O58" s="1"/>
      <c r="P58" s="1"/>
      <c r="Q58" s="5"/>
    </row>
    <row r="59" spans="1:17" s="6" customFormat="1" ht="15.95" customHeight="1" thickBot="1" x14ac:dyDescent="0.3">
      <c r="A59" s="10"/>
      <c r="B59" s="38"/>
      <c r="C59" s="95"/>
      <c r="D59" s="39"/>
      <c r="E59" s="39"/>
      <c r="F59" s="40"/>
      <c r="G59" s="39"/>
      <c r="H59" s="39"/>
      <c r="I59" s="96"/>
      <c r="J59" s="39"/>
      <c r="K59" s="95"/>
      <c r="L59" s="95"/>
      <c r="M59" s="41"/>
      <c r="N59" s="1"/>
      <c r="O59" s="1"/>
      <c r="P59" s="1"/>
      <c r="Q59" s="5"/>
    </row>
    <row r="60" spans="1:17" s="6" customFormat="1" ht="15.95" customHeight="1" x14ac:dyDescent="0.25">
      <c r="A60" s="10"/>
      <c r="B60" s="10"/>
      <c r="C60" s="61"/>
      <c r="D60" s="22"/>
      <c r="E60" s="10"/>
      <c r="F60" s="22"/>
      <c r="G60" s="10"/>
      <c r="H60" s="10"/>
      <c r="I60" s="67"/>
      <c r="J60" s="10"/>
      <c r="K60" s="61"/>
      <c r="L60" s="61"/>
      <c r="M60" s="10"/>
      <c r="N60" s="1"/>
      <c r="O60" s="1"/>
      <c r="P60" s="1"/>
      <c r="Q60" s="5"/>
    </row>
    <row r="61" spans="1:17" s="6" customFormat="1" ht="15.95" customHeight="1" x14ac:dyDescent="0.25">
      <c r="A61" s="10"/>
      <c r="B61" s="10"/>
      <c r="C61" s="61"/>
      <c r="D61" s="61"/>
      <c r="E61" s="61"/>
      <c r="F61" s="61"/>
      <c r="G61" s="61"/>
      <c r="H61" s="61"/>
      <c r="I61" s="61"/>
      <c r="J61" s="61"/>
      <c r="K61" s="61"/>
      <c r="L61" s="61"/>
      <c r="M61" s="10"/>
      <c r="N61" s="1"/>
      <c r="O61" s="1"/>
      <c r="P61" s="1"/>
      <c r="Q61" s="5"/>
    </row>
    <row r="62" spans="1:17" s="6" customFormat="1" ht="15.95" customHeight="1" x14ac:dyDescent="0.25">
      <c r="A62" s="10"/>
      <c r="B62" s="10"/>
      <c r="C62" s="61"/>
      <c r="D62" s="61"/>
      <c r="E62" s="61"/>
      <c r="F62" s="61"/>
      <c r="G62" s="61"/>
      <c r="H62" s="61"/>
      <c r="I62" s="61"/>
      <c r="J62" s="61"/>
      <c r="K62" s="61"/>
      <c r="L62" s="61"/>
      <c r="M62" s="10"/>
      <c r="N62" s="10"/>
      <c r="O62" s="1"/>
      <c r="P62" s="1"/>
      <c r="Q62" s="5"/>
    </row>
    <row r="63" spans="1:17" s="6" customFormat="1" ht="15.95" customHeight="1" x14ac:dyDescent="0.25">
      <c r="A63" s="10"/>
      <c r="B63" s="10"/>
      <c r="C63" s="61"/>
      <c r="D63" s="61"/>
      <c r="E63" s="61"/>
      <c r="F63" s="61"/>
      <c r="G63" s="61"/>
      <c r="H63" s="61"/>
      <c r="I63" s="61"/>
      <c r="J63" s="61"/>
      <c r="K63" s="61"/>
      <c r="L63" s="61"/>
      <c r="M63" s="10"/>
      <c r="N63" s="10"/>
      <c r="O63" s="1"/>
      <c r="P63" s="1"/>
      <c r="Q63" s="5"/>
    </row>
    <row r="64" spans="1:17" ht="15.75" x14ac:dyDescent="0.25">
      <c r="A64" s="10"/>
      <c r="B64" s="10"/>
      <c r="C64" s="61"/>
      <c r="D64" s="61"/>
      <c r="E64" s="61"/>
      <c r="F64" s="61"/>
      <c r="G64" s="61"/>
      <c r="H64" s="61"/>
      <c r="I64" s="61"/>
      <c r="J64" s="61"/>
      <c r="K64" s="61"/>
      <c r="L64" s="61"/>
      <c r="M64" s="10"/>
      <c r="N64" s="10"/>
    </row>
    <row r="65" spans="1:14" ht="15.75" x14ac:dyDescent="0.25">
      <c r="A65" s="10"/>
      <c r="B65" s="10"/>
      <c r="C65" s="61"/>
      <c r="D65" s="61"/>
      <c r="E65" s="61"/>
      <c r="F65" s="61"/>
      <c r="G65" s="61"/>
      <c r="H65" s="61"/>
      <c r="I65" s="61"/>
      <c r="J65" s="61"/>
      <c r="K65" s="61"/>
      <c r="L65" s="61"/>
      <c r="M65" s="10"/>
      <c r="N65" s="10"/>
    </row>
    <row r="66" spans="1:14" ht="15.75" x14ac:dyDescent="0.25">
      <c r="A66" s="10"/>
      <c r="B66" s="10"/>
      <c r="C66" s="61"/>
      <c r="D66" s="61"/>
      <c r="E66" s="61"/>
      <c r="F66" s="61"/>
      <c r="G66" s="61"/>
      <c r="H66" s="61"/>
      <c r="I66" s="61"/>
      <c r="J66" s="61"/>
      <c r="K66" s="61"/>
      <c r="L66" s="61"/>
      <c r="M66" s="10"/>
      <c r="N66" s="10"/>
    </row>
    <row r="67" spans="1:14" ht="15.75" x14ac:dyDescent="0.25">
      <c r="A67" s="10"/>
      <c r="B67" s="10"/>
      <c r="C67" s="61"/>
      <c r="D67" s="61"/>
      <c r="E67" s="61"/>
      <c r="F67" s="61"/>
      <c r="G67" s="61"/>
      <c r="H67" s="61"/>
      <c r="I67" s="61"/>
      <c r="J67" s="61"/>
      <c r="K67" s="61"/>
      <c r="L67" s="61"/>
      <c r="M67" s="10"/>
      <c r="N67" s="10"/>
    </row>
    <row r="68" spans="1:14" ht="15.75" x14ac:dyDescent="0.25">
      <c r="A68" s="10"/>
      <c r="B68" s="10"/>
      <c r="C68" s="61"/>
      <c r="D68" s="61"/>
      <c r="E68" s="61"/>
      <c r="F68" s="61"/>
      <c r="G68" s="61"/>
      <c r="H68" s="61"/>
      <c r="I68" s="61"/>
      <c r="J68" s="61"/>
      <c r="K68" s="61"/>
      <c r="L68" s="61"/>
      <c r="M68" s="10"/>
      <c r="N68" s="10"/>
    </row>
    <row r="69" spans="1:14" ht="15.75" x14ac:dyDescent="0.25">
      <c r="A69" s="10"/>
      <c r="B69" s="10"/>
      <c r="C69" s="61"/>
      <c r="D69" s="61"/>
      <c r="E69" s="61"/>
      <c r="F69" s="61"/>
      <c r="G69" s="61"/>
      <c r="H69" s="61"/>
      <c r="I69" s="61"/>
      <c r="J69" s="61"/>
      <c r="K69" s="61"/>
      <c r="L69" s="61"/>
      <c r="M69" s="10"/>
      <c r="N69" s="10"/>
    </row>
    <row r="70" spans="1:14" ht="15.75" x14ac:dyDescent="0.25">
      <c r="A70" s="10"/>
      <c r="B70" s="10"/>
      <c r="C70" s="61"/>
      <c r="D70" s="61"/>
      <c r="E70" s="61"/>
      <c r="F70" s="61"/>
      <c r="G70" s="61"/>
      <c r="H70" s="61"/>
      <c r="I70" s="61"/>
      <c r="J70" s="61"/>
      <c r="K70" s="61"/>
      <c r="L70" s="61"/>
      <c r="M70" s="10"/>
      <c r="N70" s="10"/>
    </row>
    <row r="71" spans="1:14" ht="15.75" x14ac:dyDescent="0.25">
      <c r="A71" s="10"/>
      <c r="B71" s="10"/>
      <c r="C71" s="61"/>
      <c r="D71" s="61"/>
      <c r="E71" s="61"/>
      <c r="F71" s="61"/>
      <c r="G71" s="61"/>
      <c r="H71" s="61"/>
      <c r="I71" s="61"/>
      <c r="J71" s="61"/>
      <c r="K71" s="61"/>
      <c r="L71" s="61"/>
      <c r="M71" s="10"/>
      <c r="N71" s="10"/>
    </row>
    <row r="72" spans="1:14" ht="15.75" x14ac:dyDescent="0.25">
      <c r="A72" s="10"/>
      <c r="B72" s="10"/>
      <c r="C72" s="61"/>
      <c r="D72" s="10"/>
      <c r="E72" s="61"/>
      <c r="F72" s="61"/>
      <c r="G72" s="61"/>
      <c r="H72" s="61"/>
      <c r="I72" s="61"/>
      <c r="J72" s="61"/>
      <c r="K72" s="61"/>
      <c r="L72" s="61"/>
      <c r="M72" s="10"/>
      <c r="N72" s="10"/>
    </row>
    <row r="73" spans="1:14" ht="15.75" x14ac:dyDescent="0.25">
      <c r="A73" s="10"/>
      <c r="B73" s="10"/>
      <c r="C73" s="10"/>
      <c r="D73" s="10"/>
      <c r="E73" s="10"/>
      <c r="F73" s="10"/>
      <c r="G73" s="10"/>
      <c r="H73" s="10"/>
      <c r="I73" s="10"/>
      <c r="J73" s="10"/>
      <c r="K73" s="10"/>
      <c r="L73" s="10"/>
      <c r="M73" s="10"/>
      <c r="N73" s="10"/>
    </row>
    <row r="74" spans="1:14" ht="15.75" x14ac:dyDescent="0.25">
      <c r="A74" s="10"/>
      <c r="B74" s="10"/>
      <c r="C74" s="10"/>
      <c r="D74" s="10"/>
      <c r="E74" s="10"/>
      <c r="F74" s="10"/>
      <c r="G74" s="10"/>
      <c r="H74" s="10"/>
      <c r="I74" s="10"/>
      <c r="J74" s="10"/>
      <c r="K74" s="10"/>
      <c r="L74" s="10"/>
      <c r="M74" s="10"/>
      <c r="N74" s="10"/>
    </row>
    <row r="75" spans="1:14" ht="15.75" x14ac:dyDescent="0.25">
      <c r="A75" s="10"/>
      <c r="B75" s="10"/>
      <c r="C75" s="10"/>
      <c r="D75" s="10"/>
      <c r="E75" s="10"/>
      <c r="F75" s="10"/>
      <c r="G75" s="10"/>
      <c r="H75" s="10"/>
      <c r="I75" s="10"/>
      <c r="J75" s="10"/>
      <c r="K75" s="10"/>
      <c r="L75" s="10"/>
      <c r="M75" s="10"/>
      <c r="N75" s="10"/>
    </row>
    <row r="76" spans="1:14" ht="15.75" x14ac:dyDescent="0.25">
      <c r="A76" s="10"/>
      <c r="B76" s="10"/>
      <c r="C76" s="10"/>
      <c r="D76" s="10"/>
      <c r="E76" s="10"/>
      <c r="F76" s="10"/>
      <c r="G76" s="10"/>
      <c r="H76" s="10"/>
      <c r="I76" s="10"/>
      <c r="J76" s="10"/>
      <c r="K76" s="10"/>
      <c r="L76" s="10"/>
      <c r="M76" s="10"/>
      <c r="N76" s="10"/>
    </row>
    <row r="77" spans="1:14" ht="15.75" x14ac:dyDescent="0.25">
      <c r="A77" s="10"/>
      <c r="B77" s="10"/>
      <c r="C77" s="10"/>
      <c r="D77" s="10"/>
      <c r="E77" s="10"/>
      <c r="F77" s="10"/>
      <c r="G77" s="10"/>
      <c r="H77" s="10"/>
      <c r="I77" s="10"/>
      <c r="J77" s="10"/>
      <c r="K77" s="10"/>
      <c r="L77" s="10"/>
      <c r="M77" s="10"/>
    </row>
    <row r="78" spans="1:14" ht="15.75" x14ac:dyDescent="0.25">
      <c r="A78" s="10"/>
      <c r="B78" s="10"/>
      <c r="C78" s="10"/>
      <c r="D78" s="10"/>
      <c r="E78" s="10"/>
      <c r="F78" s="67"/>
      <c r="G78" s="10"/>
      <c r="H78" s="10"/>
      <c r="I78" s="10"/>
      <c r="J78" s="10"/>
      <c r="K78" s="10"/>
      <c r="L78" s="10"/>
      <c r="M78" s="10"/>
    </row>
    <row r="79" spans="1:14" ht="15.75" x14ac:dyDescent="0.25">
      <c r="A79" s="10"/>
      <c r="B79" s="10"/>
      <c r="C79" s="10"/>
      <c r="D79" s="10"/>
      <c r="E79" s="10"/>
      <c r="F79" s="10"/>
      <c r="G79" s="10"/>
      <c r="H79" s="10"/>
      <c r="I79" s="10"/>
      <c r="J79" s="10"/>
      <c r="K79" s="10"/>
      <c r="L79" s="10"/>
      <c r="M79" s="10"/>
    </row>
    <row r="80" spans="1:14" ht="15.75" x14ac:dyDescent="0.25">
      <c r="A80" s="10"/>
      <c r="B80" s="10"/>
      <c r="C80" s="10"/>
      <c r="D80" s="10"/>
      <c r="E80" s="10"/>
      <c r="F80" s="10"/>
      <c r="G80" s="10"/>
      <c r="H80" s="10"/>
      <c r="I80" s="10"/>
      <c r="J80" s="10"/>
      <c r="K80" s="10"/>
      <c r="L80" s="10"/>
      <c r="M80" s="10"/>
    </row>
    <row r="81" spans="1:13" ht="15.75" x14ac:dyDescent="0.25">
      <c r="A81" s="10"/>
      <c r="B81" s="10"/>
      <c r="C81" s="10"/>
      <c r="D81" s="10"/>
      <c r="E81" s="10"/>
      <c r="F81" s="10"/>
      <c r="G81" s="10"/>
      <c r="H81" s="10"/>
      <c r="I81" s="10"/>
      <c r="J81" s="10"/>
      <c r="K81" s="10"/>
      <c r="L81" s="10"/>
      <c r="M81" s="10"/>
    </row>
    <row r="82" spans="1:13" ht="15.75" x14ac:dyDescent="0.25">
      <c r="C82" s="10"/>
      <c r="D82" s="10"/>
      <c r="E82" s="10"/>
      <c r="F82" s="10"/>
      <c r="G82" s="10"/>
      <c r="H82" s="10"/>
      <c r="I82" s="10"/>
    </row>
    <row r="83" spans="1:13" ht="15.75" x14ac:dyDescent="0.25">
      <c r="C83" s="10"/>
      <c r="D83" s="10"/>
      <c r="E83" s="10"/>
      <c r="F83" s="10"/>
      <c r="G83" s="10"/>
      <c r="H83" s="10"/>
      <c r="I83" s="10"/>
    </row>
    <row r="84" spans="1:13" ht="15.75" x14ac:dyDescent="0.25">
      <c r="C84" s="10"/>
      <c r="D84" s="10"/>
      <c r="E84" s="10"/>
      <c r="F84" s="10"/>
      <c r="G84" s="10"/>
      <c r="H84" s="10"/>
      <c r="I84" s="10"/>
    </row>
    <row r="85" spans="1:13" ht="15.75" x14ac:dyDescent="0.25">
      <c r="C85" s="10"/>
      <c r="D85" s="10"/>
      <c r="E85" s="10"/>
      <c r="F85" s="10"/>
      <c r="G85" s="10"/>
      <c r="H85" s="10"/>
      <c r="I85" s="10"/>
    </row>
    <row r="86" spans="1:13" ht="15.75" x14ac:dyDescent="0.25">
      <c r="C86" s="10"/>
      <c r="D86" s="10"/>
      <c r="E86" s="10"/>
      <c r="F86" s="10"/>
      <c r="G86" s="10"/>
      <c r="H86" s="10"/>
      <c r="I86" s="10"/>
    </row>
    <row r="87" spans="1:13" ht="15.75" x14ac:dyDescent="0.25">
      <c r="C87" s="10"/>
      <c r="D87" s="10"/>
      <c r="E87" s="10"/>
      <c r="F87" s="10"/>
      <c r="G87" s="10"/>
      <c r="H87" s="10"/>
      <c r="I87" s="10"/>
    </row>
    <row r="88" spans="1:13" ht="15.75" x14ac:dyDescent="0.25">
      <c r="C88" s="10"/>
      <c r="D88" s="10"/>
      <c r="E88" s="10"/>
      <c r="F88" s="10"/>
      <c r="G88" s="10"/>
      <c r="H88" s="10"/>
      <c r="I88" s="10"/>
    </row>
    <row r="89" spans="1:13" ht="15.75" x14ac:dyDescent="0.25">
      <c r="C89" s="10"/>
      <c r="D89" s="10"/>
      <c r="E89" s="10"/>
      <c r="F89" s="10"/>
      <c r="G89" s="10"/>
      <c r="H89" s="10"/>
      <c r="I89" s="10"/>
    </row>
    <row r="90" spans="1:13" ht="15.75" x14ac:dyDescent="0.25">
      <c r="C90" s="10"/>
      <c r="D90" s="10"/>
      <c r="E90" s="10"/>
      <c r="F90" s="10"/>
      <c r="G90" s="10"/>
      <c r="H90" s="10"/>
      <c r="I90" s="10"/>
    </row>
    <row r="91" spans="1:13" ht="15.75" x14ac:dyDescent="0.25">
      <c r="C91" s="10"/>
      <c r="D91" s="10"/>
      <c r="E91" s="10"/>
      <c r="F91" s="10"/>
      <c r="G91" s="10"/>
      <c r="H91" s="10"/>
      <c r="I91" s="10"/>
    </row>
    <row r="92" spans="1:13" ht="15.75" x14ac:dyDescent="0.25">
      <c r="C92" s="10"/>
      <c r="D92" s="10"/>
      <c r="E92" s="10"/>
      <c r="F92" s="10"/>
      <c r="G92" s="10"/>
      <c r="H92" s="10"/>
      <c r="I92" s="10"/>
    </row>
    <row r="93" spans="1:13" ht="15.75" x14ac:dyDescent="0.25">
      <c r="C93" s="10"/>
      <c r="D93" s="10"/>
      <c r="E93" s="10"/>
      <c r="F93" s="10"/>
      <c r="G93" s="10"/>
      <c r="H93" s="10"/>
      <c r="I93" s="10"/>
    </row>
    <row r="94" spans="1:13" ht="15.75" x14ac:dyDescent="0.25">
      <c r="C94" s="10"/>
      <c r="D94" s="10"/>
      <c r="E94" s="10"/>
      <c r="F94" s="10"/>
      <c r="G94" s="10"/>
      <c r="H94" s="10"/>
      <c r="I94" s="10"/>
    </row>
    <row r="95" spans="1:13" ht="15.75" x14ac:dyDescent="0.25">
      <c r="C95" s="10"/>
      <c r="D95" s="10"/>
      <c r="E95" s="10"/>
      <c r="F95" s="10"/>
      <c r="G95" s="10"/>
      <c r="H95" s="10"/>
      <c r="I95" s="10"/>
    </row>
    <row r="96" spans="1:13" ht="15.75" x14ac:dyDescent="0.25">
      <c r="C96" s="10"/>
      <c r="D96" s="10"/>
      <c r="E96" s="10"/>
      <c r="F96" s="10"/>
      <c r="G96" s="10"/>
      <c r="H96" s="10"/>
      <c r="I96" s="10"/>
    </row>
    <row r="97" spans="3:9" ht="15.75" x14ac:dyDescent="0.25">
      <c r="C97" s="10"/>
      <c r="D97" s="10"/>
      <c r="E97" s="10"/>
      <c r="F97" s="10"/>
      <c r="G97" s="10"/>
      <c r="H97" s="10"/>
      <c r="I97" s="10"/>
    </row>
    <row r="98" spans="3:9" ht="15.75" x14ac:dyDescent="0.25">
      <c r="C98" s="10"/>
      <c r="D98" s="10"/>
      <c r="E98" s="10"/>
      <c r="F98" s="10"/>
      <c r="G98" s="10"/>
      <c r="H98" s="10"/>
      <c r="I98" s="10"/>
    </row>
    <row r="99" spans="3:9" ht="15.75" x14ac:dyDescent="0.25">
      <c r="C99" s="10"/>
      <c r="D99" s="10"/>
      <c r="E99" s="10"/>
      <c r="F99" s="10"/>
      <c r="G99" s="10"/>
      <c r="H99" s="10"/>
      <c r="I99" s="10"/>
    </row>
    <row r="100" spans="3:9" ht="15.75" x14ac:dyDescent="0.25">
      <c r="C100" s="10"/>
      <c r="D100" s="10"/>
      <c r="E100" s="10"/>
      <c r="F100" s="10"/>
      <c r="G100" s="10"/>
      <c r="H100" s="10"/>
      <c r="I100" s="10"/>
    </row>
    <row r="101" spans="3:9" ht="15.75" x14ac:dyDescent="0.25">
      <c r="C101" s="10"/>
      <c r="D101" s="10"/>
      <c r="E101" s="10"/>
      <c r="F101" s="10"/>
      <c r="G101" s="10"/>
      <c r="H101" s="10"/>
      <c r="I101" s="10"/>
    </row>
    <row r="102" spans="3:9" ht="15.75" x14ac:dyDescent="0.25">
      <c r="C102" s="10"/>
      <c r="D102" s="10"/>
      <c r="E102" s="10"/>
      <c r="F102" s="10"/>
      <c r="G102" s="10"/>
      <c r="H102" s="10"/>
      <c r="I102" s="10"/>
    </row>
    <row r="103" spans="3:9" ht="15.75" x14ac:dyDescent="0.25">
      <c r="C103" s="10"/>
      <c r="D103" s="10"/>
      <c r="E103" s="10"/>
      <c r="F103" s="10"/>
      <c r="G103" s="10"/>
      <c r="H103" s="10"/>
      <c r="I103" s="10"/>
    </row>
    <row r="104" spans="3:9" ht="15.75" x14ac:dyDescent="0.25">
      <c r="C104" s="10"/>
      <c r="D104" s="10"/>
      <c r="E104" s="10"/>
      <c r="F104" s="10"/>
      <c r="G104" s="10"/>
      <c r="H104" s="10"/>
      <c r="I104" s="10"/>
    </row>
    <row r="105" spans="3:9" ht="15.75" x14ac:dyDescent="0.25">
      <c r="C105" s="10"/>
      <c r="D105" s="10"/>
      <c r="E105" s="10"/>
      <c r="F105" s="10"/>
      <c r="G105" s="10"/>
      <c r="H105" s="10"/>
      <c r="I105" s="10"/>
    </row>
    <row r="106" spans="3:9" ht="15.75" x14ac:dyDescent="0.25">
      <c r="C106" s="10"/>
      <c r="D106" s="10"/>
      <c r="E106" s="10"/>
      <c r="F106" s="10"/>
      <c r="G106" s="10"/>
      <c r="H106" s="10"/>
      <c r="I106" s="10"/>
    </row>
    <row r="107" spans="3:9" ht="15.75" x14ac:dyDescent="0.25">
      <c r="C107" s="10"/>
      <c r="D107" s="10"/>
      <c r="E107" s="10"/>
      <c r="F107" s="10"/>
      <c r="G107" s="10"/>
      <c r="H107" s="10"/>
      <c r="I107" s="10"/>
    </row>
    <row r="108" spans="3:9" ht="15.75" x14ac:dyDescent="0.25">
      <c r="C108" s="10"/>
      <c r="D108" s="10"/>
      <c r="E108" s="10"/>
      <c r="F108" s="10"/>
      <c r="G108" s="10"/>
      <c r="H108" s="10"/>
      <c r="I108" s="10"/>
    </row>
    <row r="109" spans="3:9" ht="15.75" x14ac:dyDescent="0.25">
      <c r="C109" s="10"/>
      <c r="D109" s="10"/>
      <c r="E109" s="10"/>
      <c r="F109" s="10"/>
      <c r="G109" s="10"/>
      <c r="H109" s="10"/>
      <c r="I109" s="10"/>
    </row>
    <row r="110" spans="3:9" ht="15.75" x14ac:dyDescent="0.25">
      <c r="C110" s="10"/>
      <c r="D110" s="10"/>
      <c r="E110" s="10"/>
      <c r="F110" s="10"/>
      <c r="G110" s="10"/>
      <c r="H110" s="10"/>
      <c r="I110" s="10"/>
    </row>
    <row r="111" spans="3:9" ht="15.75" x14ac:dyDescent="0.25">
      <c r="C111" s="10"/>
      <c r="D111" s="10"/>
      <c r="E111" s="10"/>
      <c r="F111" s="10"/>
      <c r="G111" s="10"/>
      <c r="H111" s="10"/>
      <c r="I111" s="10"/>
    </row>
    <row r="112" spans="3:9" ht="15.75" x14ac:dyDescent="0.25">
      <c r="C112" s="10"/>
      <c r="D112" s="10"/>
      <c r="E112" s="10"/>
      <c r="F112" s="10"/>
      <c r="G112" s="10"/>
      <c r="H112" s="10"/>
      <c r="I112" s="10"/>
    </row>
    <row r="113" spans="3:9" ht="15.75" x14ac:dyDescent="0.25">
      <c r="C113" s="10"/>
      <c r="D113" s="10"/>
      <c r="E113" s="10"/>
      <c r="F113" s="10"/>
      <c r="G113" s="10"/>
      <c r="H113" s="10"/>
      <c r="I113" s="10"/>
    </row>
    <row r="114" spans="3:9" ht="15.75" x14ac:dyDescent="0.25">
      <c r="C114" s="10"/>
      <c r="D114" s="10"/>
      <c r="E114" s="10"/>
      <c r="F114" s="10"/>
      <c r="G114" s="10"/>
      <c r="H114" s="10"/>
      <c r="I114" s="10"/>
    </row>
    <row r="115" spans="3:9" ht="15.75" x14ac:dyDescent="0.25">
      <c r="C115" s="10"/>
      <c r="D115" s="10"/>
      <c r="E115" s="10"/>
      <c r="F115" s="10"/>
      <c r="G115" s="10"/>
      <c r="H115" s="10"/>
      <c r="I115" s="10"/>
    </row>
    <row r="116" spans="3:9" ht="15.75" x14ac:dyDescent="0.25">
      <c r="C116" s="10"/>
      <c r="D116" s="10"/>
      <c r="E116" s="10"/>
      <c r="F116" s="10"/>
      <c r="G116" s="10"/>
      <c r="H116" s="10"/>
      <c r="I116" s="10"/>
    </row>
    <row r="117" spans="3:9" ht="15.75" x14ac:dyDescent="0.25">
      <c r="C117" s="10"/>
      <c r="D117" s="10"/>
      <c r="E117" s="10"/>
      <c r="F117" s="10"/>
      <c r="G117" s="10"/>
      <c r="H117" s="10"/>
      <c r="I117" s="10"/>
    </row>
    <row r="118" spans="3:9" ht="15.75" x14ac:dyDescent="0.25">
      <c r="C118" s="10"/>
      <c r="D118" s="10"/>
      <c r="E118" s="10"/>
      <c r="F118" s="10"/>
      <c r="G118" s="10"/>
      <c r="H118" s="10"/>
      <c r="I118" s="10"/>
    </row>
    <row r="119" spans="3:9" ht="15.75" x14ac:dyDescent="0.25">
      <c r="C119" s="10"/>
      <c r="D119" s="10"/>
      <c r="E119" s="10"/>
      <c r="F119" s="10"/>
      <c r="G119" s="10"/>
      <c r="H119" s="10"/>
      <c r="I119" s="10"/>
    </row>
    <row r="120" spans="3:9" ht="15.75" x14ac:dyDescent="0.25">
      <c r="C120" s="10"/>
      <c r="D120" s="10"/>
      <c r="E120" s="10"/>
      <c r="F120" s="10"/>
      <c r="G120" s="10"/>
      <c r="H120" s="10"/>
      <c r="I120" s="10"/>
    </row>
    <row r="121" spans="3:9" ht="15.75" x14ac:dyDescent="0.25">
      <c r="C121" s="10"/>
      <c r="D121" s="10"/>
      <c r="E121" s="10"/>
      <c r="F121" s="10"/>
      <c r="G121" s="10"/>
      <c r="H121" s="10"/>
      <c r="I121" s="10"/>
    </row>
    <row r="122" spans="3:9" ht="15.75" x14ac:dyDescent="0.25">
      <c r="C122" s="10"/>
      <c r="D122" s="10"/>
      <c r="E122" s="10"/>
      <c r="F122" s="10"/>
      <c r="G122" s="10"/>
      <c r="H122" s="10"/>
      <c r="I122" s="10"/>
    </row>
    <row r="123" spans="3:9" ht="15.75" x14ac:dyDescent="0.25">
      <c r="C123" s="10"/>
      <c r="D123" s="10"/>
      <c r="E123" s="10"/>
      <c r="F123" s="10"/>
      <c r="G123" s="10"/>
      <c r="H123" s="10"/>
      <c r="I123" s="10"/>
    </row>
    <row r="124" spans="3:9" ht="15.75" x14ac:dyDescent="0.25">
      <c r="C124" s="10"/>
      <c r="D124" s="10"/>
      <c r="E124" s="10"/>
      <c r="F124" s="10"/>
      <c r="G124" s="10"/>
      <c r="H124" s="10"/>
      <c r="I124" s="10"/>
    </row>
    <row r="125" spans="3:9" ht="15.75" x14ac:dyDescent="0.25">
      <c r="C125" s="10"/>
      <c r="D125" s="10"/>
      <c r="E125" s="10"/>
      <c r="F125" s="10"/>
      <c r="G125" s="10"/>
      <c r="H125" s="10"/>
      <c r="I125" s="10"/>
    </row>
    <row r="126" spans="3:9" ht="15.75" x14ac:dyDescent="0.25">
      <c r="C126" s="10"/>
      <c r="D126" s="10"/>
      <c r="E126" s="10"/>
      <c r="F126" s="10"/>
      <c r="G126" s="10"/>
      <c r="H126" s="10"/>
      <c r="I126" s="10"/>
    </row>
    <row r="127" spans="3:9" ht="15.75" x14ac:dyDescent="0.25">
      <c r="C127" s="10"/>
      <c r="D127" s="10"/>
      <c r="E127" s="10"/>
      <c r="F127" s="10"/>
      <c r="G127" s="10"/>
      <c r="H127" s="10"/>
      <c r="I127" s="10"/>
    </row>
    <row r="128" spans="3:9" ht="15.75" x14ac:dyDescent="0.25">
      <c r="C128" s="10"/>
      <c r="D128" s="10"/>
      <c r="E128" s="10"/>
      <c r="F128" s="10"/>
      <c r="G128" s="10"/>
      <c r="H128" s="10"/>
      <c r="I128" s="10"/>
    </row>
    <row r="129" spans="3:9" ht="15.75" x14ac:dyDescent="0.25">
      <c r="C129" s="10"/>
      <c r="D129" s="10"/>
      <c r="E129" s="10"/>
      <c r="F129" s="10"/>
      <c r="G129" s="10"/>
      <c r="H129" s="10"/>
      <c r="I129" s="10"/>
    </row>
    <row r="130" spans="3:9" ht="15.75" x14ac:dyDescent="0.25"/>
    <row r="131" spans="3:9" ht="15.75" x14ac:dyDescent="0.25"/>
    <row r="132" spans="3:9" ht="15.75" x14ac:dyDescent="0.25"/>
    <row r="133" spans="3:9" ht="15.75" x14ac:dyDescent="0.25"/>
    <row r="134" spans="3:9" ht="15.75" x14ac:dyDescent="0.25"/>
    <row r="135" spans="3:9" ht="15.75" x14ac:dyDescent="0.25"/>
    <row r="136" spans="3:9" ht="15.75" x14ac:dyDescent="0.25"/>
    <row r="137" spans="3:9" ht="15.75" x14ac:dyDescent="0.25"/>
    <row r="138" spans="3:9" ht="15.75" x14ac:dyDescent="0.25"/>
    <row r="139" spans="3:9" ht="15.75" x14ac:dyDescent="0.25"/>
    <row r="140" spans="3:9" ht="15.75" x14ac:dyDescent="0.25"/>
    <row r="141" spans="3:9" ht="15.75" x14ac:dyDescent="0.25"/>
    <row r="142" spans="3:9" ht="15.75" x14ac:dyDescent="0.25"/>
    <row r="143" spans="3:9" ht="15.75" x14ac:dyDescent="0.25"/>
    <row r="144" spans="3:9"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pageMargins left="0.7" right="0.7" top="0.75" bottom="0.75" header="0.3" footer="0.3"/>
  <pageSetup paperSize="9" scale="71"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94BE7FD-07C6-43E7-8D11-E72620AFAFDE}">
          <x14:formula1>
            <xm:f>Oplysninger!$B$261:$B$262</xm:f>
          </x14:formula1>
          <xm:sqref>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45"/>
  <sheetViews>
    <sheetView tabSelected="1" zoomScale="70" zoomScaleNormal="70" zoomScaleSheetLayoutView="70" zoomScalePageLayoutView="70" workbookViewId="0">
      <selection activeCell="E146" sqref="E146"/>
    </sheetView>
  </sheetViews>
  <sheetFormatPr defaultColWidth="0" defaultRowHeight="15.75" zeroHeight="1" x14ac:dyDescent="0.25"/>
  <cols>
    <col min="1" max="1" width="2.28515625" style="1" customWidth="1"/>
    <col min="2" max="2" width="1.5703125" style="1" customWidth="1"/>
    <col min="3" max="3" width="39.8554687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6" ht="16.5" thickBot="1" x14ac:dyDescent="0.3"/>
    <row r="2" spans="1:16" s="6" customFormat="1" ht="37.5" customHeight="1" x14ac:dyDescent="0.25">
      <c r="A2" s="1"/>
      <c r="B2" s="2"/>
      <c r="C2" s="3"/>
      <c r="D2" s="3"/>
      <c r="E2" s="3"/>
      <c r="F2" s="3"/>
      <c r="G2" s="3"/>
      <c r="H2" s="3"/>
      <c r="I2" s="3"/>
      <c r="J2" s="4"/>
      <c r="K2" s="1"/>
      <c r="L2" s="1"/>
      <c r="M2" s="1"/>
      <c r="N2" s="5"/>
    </row>
    <row r="3" spans="1:16" s="6" customFormat="1" ht="38.25" customHeight="1" thickBot="1" x14ac:dyDescent="0.3">
      <c r="A3" s="1"/>
      <c r="B3" s="38"/>
      <c r="C3" s="212"/>
      <c r="D3" s="212"/>
      <c r="E3" s="212"/>
      <c r="F3" s="212"/>
      <c r="G3" s="212"/>
      <c r="H3" s="212"/>
      <c r="I3" s="212"/>
      <c r="J3" s="41"/>
      <c r="K3" s="1"/>
      <c r="L3" s="1"/>
      <c r="M3" s="1"/>
      <c r="N3" s="5"/>
    </row>
    <row r="4" spans="1:16" s="6" customFormat="1" ht="15.95" customHeight="1" x14ac:dyDescent="0.25">
      <c r="A4" s="10"/>
      <c r="B4" s="2"/>
      <c r="C4" s="216" t="s">
        <v>89</v>
      </c>
      <c r="D4" s="216"/>
      <c r="E4" s="216"/>
      <c r="F4" s="216"/>
      <c r="G4" s="216"/>
      <c r="H4" s="216"/>
      <c r="I4" s="216"/>
      <c r="J4" s="48"/>
      <c r="K4" s="69"/>
      <c r="L4" s="48"/>
      <c r="M4" s="1"/>
      <c r="N4" s="1"/>
      <c r="O4" s="1"/>
      <c r="P4" s="5"/>
    </row>
    <row r="5" spans="1:16" s="6" customFormat="1" ht="19.5" customHeight="1" thickBot="1" x14ac:dyDescent="0.3">
      <c r="A5" s="10"/>
      <c r="B5" s="38"/>
      <c r="C5" s="217"/>
      <c r="D5" s="217"/>
      <c r="E5" s="217"/>
      <c r="F5" s="217"/>
      <c r="G5" s="217"/>
      <c r="H5" s="217"/>
      <c r="I5" s="217"/>
      <c r="J5" s="70"/>
      <c r="K5" s="49"/>
      <c r="L5" s="8"/>
      <c r="M5" s="1"/>
      <c r="N5" s="1"/>
      <c r="O5" s="1"/>
      <c r="P5" s="5"/>
    </row>
    <row r="6" spans="1:16" s="6" customFormat="1" ht="15" customHeight="1" x14ac:dyDescent="0.25">
      <c r="A6" s="10"/>
      <c r="B6" s="2"/>
      <c r="C6" s="161"/>
      <c r="D6" s="161"/>
      <c r="E6" s="161"/>
      <c r="F6" s="161"/>
      <c r="G6" s="161"/>
      <c r="H6" s="161"/>
      <c r="I6" s="161"/>
      <c r="J6" s="71"/>
      <c r="K6" s="49"/>
      <c r="L6" s="49"/>
      <c r="M6" s="1"/>
      <c r="N6" s="1"/>
      <c r="O6" s="1"/>
      <c r="P6" s="5"/>
    </row>
    <row r="7" spans="1:16" s="6" customFormat="1" ht="15.95" customHeight="1" x14ac:dyDescent="0.25">
      <c r="A7" s="1"/>
      <c r="B7" s="14"/>
      <c r="C7" s="47" t="s">
        <v>35</v>
      </c>
      <c r="D7" s="9"/>
      <c r="E7" s="10"/>
      <c r="F7" s="9"/>
      <c r="G7" s="9"/>
      <c r="H7" s="10"/>
      <c r="I7" s="10"/>
      <c r="J7" s="11"/>
      <c r="K7" s="1"/>
      <c r="L7" s="1"/>
      <c r="M7" s="1"/>
      <c r="N7" s="5"/>
    </row>
    <row r="8" spans="1:16" s="6" customFormat="1" ht="15.95" customHeight="1" x14ac:dyDescent="0.25">
      <c r="A8" s="1"/>
      <c r="B8" s="14"/>
      <c r="C8" s="215" t="s">
        <v>57</v>
      </c>
      <c r="D8" s="215"/>
      <c r="E8" s="215"/>
      <c r="F8" s="215"/>
      <c r="G8" s="215"/>
      <c r="H8" s="215"/>
      <c r="I8" s="215"/>
      <c r="J8" s="218"/>
      <c r="K8" s="74"/>
      <c r="L8" s="1"/>
      <c r="M8" s="1"/>
      <c r="N8" s="5"/>
    </row>
    <row r="9" spans="1:16" s="6" customFormat="1" ht="15.95" customHeight="1" x14ac:dyDescent="0.25">
      <c r="A9" s="1"/>
      <c r="B9" s="14"/>
      <c r="C9" s="75" t="s">
        <v>61</v>
      </c>
      <c r="D9" s="76"/>
      <c r="E9" s="20"/>
      <c r="F9" s="76"/>
      <c r="G9" s="9"/>
      <c r="H9" s="27"/>
      <c r="I9" s="10"/>
      <c r="J9" s="11"/>
      <c r="K9" s="1"/>
      <c r="L9" s="1"/>
      <c r="M9" s="1"/>
      <c r="N9" s="5"/>
    </row>
    <row r="10" spans="1:16" s="6" customFormat="1" ht="15.95" customHeight="1" x14ac:dyDescent="0.25">
      <c r="A10" s="1"/>
      <c r="B10" s="14"/>
      <c r="C10" s="93" t="s">
        <v>101</v>
      </c>
      <c r="D10" s="92"/>
      <c r="E10" s="89"/>
      <c r="F10" s="92"/>
      <c r="G10" s="9"/>
      <c r="H10" s="10"/>
      <c r="I10" s="10"/>
      <c r="J10" s="11"/>
      <c r="K10" s="1"/>
      <c r="L10" s="1"/>
      <c r="M10" s="1"/>
      <c r="N10" s="5"/>
    </row>
    <row r="11" spans="1:16" s="6" customFormat="1" ht="15.95" customHeight="1" x14ac:dyDescent="0.25">
      <c r="A11" s="1"/>
      <c r="B11" s="16"/>
      <c r="C11" s="60"/>
      <c r="D11" s="68"/>
      <c r="E11" s="17"/>
      <c r="F11" s="68"/>
      <c r="G11" s="68"/>
      <c r="H11" s="17"/>
      <c r="I11" s="17"/>
      <c r="J11" s="7"/>
      <c r="K11" s="1"/>
      <c r="L11" s="1"/>
      <c r="M11" s="1"/>
      <c r="N11" s="5"/>
    </row>
    <row r="12" spans="1:16" s="6" customFormat="1" ht="15.95" customHeight="1" x14ac:dyDescent="0.25">
      <c r="A12" s="1"/>
      <c r="B12" s="14"/>
      <c r="C12" s="9"/>
      <c r="D12" s="9"/>
      <c r="E12" s="10"/>
      <c r="F12" s="9"/>
      <c r="G12" s="9"/>
      <c r="H12" s="10"/>
      <c r="I12" s="10"/>
      <c r="J12" s="11"/>
      <c r="K12" s="1"/>
      <c r="L12" s="1"/>
      <c r="M12" s="1"/>
      <c r="N12" s="5"/>
    </row>
    <row r="13" spans="1:16" s="6" customFormat="1" ht="15.95" customHeight="1" x14ac:dyDescent="0.25">
      <c r="A13" s="1"/>
      <c r="B13" s="14"/>
      <c r="C13" s="12" t="s">
        <v>9</v>
      </c>
      <c r="D13" s="12"/>
      <c r="E13" s="10"/>
      <c r="F13" s="10"/>
      <c r="G13" s="10"/>
      <c r="H13" s="13"/>
      <c r="I13" s="10"/>
      <c r="J13" s="11"/>
      <c r="K13" s="1"/>
      <c r="L13" s="1"/>
      <c r="M13" s="1"/>
      <c r="N13" s="5"/>
    </row>
    <row r="14" spans="1:16" s="6" customFormat="1" ht="15.95" customHeight="1" x14ac:dyDescent="0.25">
      <c r="A14" s="1"/>
      <c r="B14" s="14"/>
      <c r="C14" s="10" t="s">
        <v>10</v>
      </c>
      <c r="D14" s="219"/>
      <c r="E14" s="219"/>
      <c r="F14" s="219"/>
      <c r="G14" s="15"/>
      <c r="H14" s="13"/>
      <c r="I14" s="10"/>
      <c r="J14" s="11"/>
      <c r="K14" s="1"/>
      <c r="L14" s="1"/>
      <c r="M14" s="1"/>
      <c r="N14" s="5"/>
    </row>
    <row r="15" spans="1:16" s="6" customFormat="1" ht="15.95" customHeight="1" x14ac:dyDescent="0.25">
      <c r="A15" s="1"/>
      <c r="B15" s="14"/>
      <c r="C15" s="10" t="s">
        <v>5</v>
      </c>
      <c r="D15" s="219"/>
      <c r="E15" s="219"/>
      <c r="F15" s="219"/>
      <c r="G15" s="15"/>
      <c r="H15" s="13"/>
      <c r="I15" s="10"/>
      <c r="J15" s="11"/>
      <c r="K15" s="1"/>
      <c r="L15" s="1"/>
      <c r="M15" s="1"/>
      <c r="N15" s="5"/>
    </row>
    <row r="16" spans="1:16" s="6" customFormat="1" ht="15.95" customHeight="1" x14ac:dyDescent="0.25">
      <c r="A16" s="1"/>
      <c r="B16" s="14"/>
      <c r="C16" s="10" t="s">
        <v>6</v>
      </c>
      <c r="D16" s="219"/>
      <c r="E16" s="219"/>
      <c r="F16" s="219"/>
      <c r="G16" s="15"/>
      <c r="H16" s="13"/>
      <c r="I16" s="10"/>
      <c r="J16" s="11"/>
      <c r="K16" s="1"/>
      <c r="L16" s="1"/>
      <c r="M16" s="1"/>
      <c r="N16" s="5"/>
    </row>
    <row r="17" spans="1:14" s="6" customFormat="1" ht="15.95" customHeight="1" x14ac:dyDescent="0.25">
      <c r="A17" s="1"/>
      <c r="B17" s="14"/>
      <c r="C17" s="10" t="s">
        <v>11</v>
      </c>
      <c r="D17" s="219"/>
      <c r="E17" s="219"/>
      <c r="F17" s="219"/>
      <c r="G17" s="15"/>
      <c r="H17" s="13"/>
      <c r="I17" s="10"/>
      <c r="J17" s="11"/>
      <c r="K17" s="1"/>
      <c r="L17" s="1"/>
      <c r="M17" s="1"/>
      <c r="N17" s="5"/>
    </row>
    <row r="18" spans="1:14" s="6" customFormat="1" ht="15.95" customHeight="1" x14ac:dyDescent="0.25">
      <c r="A18" s="1"/>
      <c r="B18" s="16"/>
      <c r="C18" s="17"/>
      <c r="D18" s="17"/>
      <c r="E18" s="17"/>
      <c r="F18" s="17"/>
      <c r="G18" s="17"/>
      <c r="H18" s="18"/>
      <c r="I18" s="17"/>
      <c r="J18" s="7"/>
      <c r="K18" s="1"/>
      <c r="L18" s="1"/>
      <c r="M18" s="1"/>
      <c r="N18" s="5"/>
    </row>
    <row r="19" spans="1:14" s="6" customFormat="1" ht="15.95" customHeight="1" x14ac:dyDescent="0.25">
      <c r="A19" s="1"/>
      <c r="B19" s="14"/>
      <c r="C19" s="9"/>
      <c r="D19" s="9"/>
      <c r="E19" s="22"/>
      <c r="F19" s="10"/>
      <c r="G19" s="10"/>
      <c r="H19" s="13"/>
      <c r="I19" s="10"/>
      <c r="J19" s="11"/>
      <c r="K19" s="1"/>
      <c r="L19" s="1"/>
      <c r="M19" s="1"/>
      <c r="N19" s="5"/>
    </row>
    <row r="20" spans="1:14" s="6" customFormat="1" ht="15.95" customHeight="1" x14ac:dyDescent="0.25">
      <c r="A20" s="1"/>
      <c r="B20" s="14"/>
      <c r="C20" s="9" t="s">
        <v>166</v>
      </c>
      <c r="D20" s="9"/>
      <c r="E20" s="22"/>
      <c r="F20" s="10"/>
      <c r="G20" s="10"/>
      <c r="H20" s="13"/>
      <c r="I20" s="10"/>
      <c r="J20" s="11"/>
      <c r="K20" s="1"/>
      <c r="L20" s="1"/>
      <c r="M20" s="1"/>
      <c r="N20" s="5"/>
    </row>
    <row r="21" spans="1:14" s="6" customFormat="1" ht="15.95" customHeight="1" x14ac:dyDescent="0.25">
      <c r="A21" s="1"/>
      <c r="B21" s="14"/>
      <c r="C21" s="9"/>
      <c r="D21" s="9"/>
      <c r="E21" s="22"/>
      <c r="F21" s="10"/>
      <c r="G21" s="10"/>
      <c r="H21" s="13"/>
      <c r="I21" s="10"/>
      <c r="J21" s="11"/>
      <c r="K21" s="1"/>
      <c r="L21" s="1"/>
      <c r="M21" s="1"/>
      <c r="N21" s="5"/>
    </row>
    <row r="22" spans="1:14" s="6" customFormat="1" ht="15.95" customHeight="1" x14ac:dyDescent="0.25">
      <c r="A22" s="1"/>
      <c r="B22" s="14"/>
      <c r="C22" s="10" t="s">
        <v>162</v>
      </c>
      <c r="D22" s="10"/>
      <c r="E22" s="19">
        <v>130</v>
      </c>
      <c r="F22" s="10" t="s">
        <v>12</v>
      </c>
      <c r="G22" s="10"/>
      <c r="H22" s="23" t="s">
        <v>143</v>
      </c>
      <c r="I22" s="10"/>
      <c r="J22" s="11"/>
      <c r="K22" s="1"/>
      <c r="L22" s="1"/>
      <c r="M22" s="1"/>
      <c r="N22" s="5"/>
    </row>
    <row r="23" spans="1:14" s="6" customFormat="1" ht="15.95" customHeight="1" x14ac:dyDescent="0.25">
      <c r="A23" s="1"/>
      <c r="B23" s="14"/>
      <c r="C23" s="10" t="s">
        <v>144</v>
      </c>
      <c r="D23" s="10"/>
      <c r="E23" s="19">
        <v>1658</v>
      </c>
      <c r="F23" s="10" t="s">
        <v>150</v>
      </c>
      <c r="G23" s="10"/>
      <c r="H23" s="156" t="s">
        <v>157</v>
      </c>
      <c r="I23" s="10"/>
      <c r="J23" s="11"/>
      <c r="K23" s="1"/>
      <c r="L23" s="1"/>
      <c r="M23" s="1"/>
      <c r="N23" s="5"/>
    </row>
    <row r="24" spans="1:14" s="6" customFormat="1" ht="15.95" customHeight="1" x14ac:dyDescent="0.25">
      <c r="A24" s="1"/>
      <c r="B24" s="14"/>
      <c r="C24" s="10"/>
      <c r="D24" s="10"/>
      <c r="E24" s="121"/>
      <c r="F24" s="10"/>
      <c r="G24" s="10"/>
      <c r="H24" s="23" t="s">
        <v>158</v>
      </c>
      <c r="I24" s="10"/>
      <c r="J24" s="11"/>
      <c r="K24" s="1"/>
      <c r="L24" s="1"/>
      <c r="M24" s="1"/>
      <c r="N24" s="5"/>
    </row>
    <row r="25" spans="1:14" s="6" customFormat="1" ht="15.95" customHeight="1" x14ac:dyDescent="0.25">
      <c r="A25" s="1"/>
      <c r="B25" s="14"/>
      <c r="C25" s="10" t="s">
        <v>153</v>
      </c>
      <c r="D25" s="9"/>
      <c r="E25" s="22"/>
      <c r="F25" s="10"/>
      <c r="G25" s="10"/>
      <c r="H25" s="13"/>
      <c r="I25" s="10"/>
      <c r="J25" s="11"/>
      <c r="K25" s="1"/>
      <c r="L25" s="1"/>
      <c r="M25" s="1"/>
      <c r="N25" s="5"/>
    </row>
    <row r="26" spans="1:14" s="6" customFormat="1" ht="15.95" customHeight="1" x14ac:dyDescent="0.25">
      <c r="A26" s="1"/>
      <c r="B26" s="14"/>
      <c r="C26" s="10" t="s">
        <v>21</v>
      </c>
      <c r="D26" s="10"/>
      <c r="E26" s="29">
        <f>Oplysninger!C250</f>
        <v>2957</v>
      </c>
      <c r="F26" s="10"/>
      <c r="G26" s="10"/>
      <c r="H26" s="28" t="s">
        <v>159</v>
      </c>
      <c r="I26" s="10"/>
      <c r="J26" s="11"/>
      <c r="K26" s="1"/>
      <c r="L26" s="1"/>
      <c r="M26" s="1"/>
      <c r="N26" s="5"/>
    </row>
    <row r="27" spans="1:14" s="6" customFormat="1" ht="15.95" customHeight="1" x14ac:dyDescent="0.25">
      <c r="A27" s="1"/>
      <c r="B27" s="14"/>
      <c r="C27" s="10" t="s">
        <v>152</v>
      </c>
      <c r="D27" s="10"/>
      <c r="E27" s="90">
        <v>2021</v>
      </c>
      <c r="F27" s="27"/>
      <c r="G27" s="146"/>
      <c r="H27" s="24" t="s">
        <v>59</v>
      </c>
      <c r="I27" s="10"/>
      <c r="J27" s="11"/>
      <c r="K27" s="1"/>
      <c r="L27" s="1"/>
      <c r="M27" s="1"/>
      <c r="N27" s="5"/>
    </row>
    <row r="28" spans="1:14" s="6" customFormat="1" ht="15.95" customHeight="1" x14ac:dyDescent="0.25">
      <c r="A28" s="1"/>
      <c r="B28" s="14"/>
      <c r="C28" s="10" t="s">
        <v>20</v>
      </c>
      <c r="D28" s="10"/>
      <c r="E28" s="22">
        <f>VLOOKUP(E27,Oplysninger!B240:C248,2,FALSE)</f>
        <v>3098.4</v>
      </c>
      <c r="F28" s="10"/>
      <c r="G28" s="10"/>
      <c r="H28" s="13"/>
      <c r="I28" s="10"/>
      <c r="J28" s="11"/>
      <c r="K28" s="1"/>
      <c r="L28" s="1"/>
      <c r="M28" s="1"/>
      <c r="N28" s="5"/>
    </row>
    <row r="29" spans="1:14" s="6" customFormat="1" ht="15.95" customHeight="1" x14ac:dyDescent="0.25">
      <c r="A29" s="1"/>
      <c r="B29" s="14"/>
      <c r="C29" s="10" t="s">
        <v>34</v>
      </c>
      <c r="D29" s="10"/>
      <c r="E29" s="42">
        <v>0.7</v>
      </c>
      <c r="F29" s="10"/>
      <c r="G29" s="10"/>
      <c r="H29" s="28" t="s">
        <v>94</v>
      </c>
      <c r="I29" s="10"/>
      <c r="J29" s="11"/>
      <c r="K29" s="1"/>
      <c r="L29" s="1"/>
      <c r="M29" s="1"/>
      <c r="N29" s="5"/>
    </row>
    <row r="30" spans="1:14" s="6" customFormat="1" ht="15.95" customHeight="1" x14ac:dyDescent="0.25">
      <c r="A30" s="1"/>
      <c r="B30" s="14"/>
      <c r="C30" s="10"/>
      <c r="D30" s="10"/>
      <c r="E30" s="122"/>
      <c r="F30" s="10"/>
      <c r="G30" s="10"/>
      <c r="H30" s="28"/>
      <c r="I30" s="10"/>
      <c r="J30" s="11"/>
      <c r="K30" s="1"/>
      <c r="L30" s="1"/>
      <c r="M30" s="1"/>
      <c r="N30" s="5"/>
    </row>
    <row r="31" spans="1:14" s="6" customFormat="1" ht="15.95" customHeight="1" x14ac:dyDescent="0.25">
      <c r="A31" s="1"/>
      <c r="B31" s="14"/>
      <c r="C31" s="10" t="s">
        <v>154</v>
      </c>
      <c r="D31" s="10"/>
      <c r="E31" s="29">
        <f>(E23*E29)*(E26/E28)+(E23*(1-E29))</f>
        <v>1605.0343273947844</v>
      </c>
      <c r="F31" s="10" t="s">
        <v>156</v>
      </c>
      <c r="G31" s="10"/>
      <c r="H31" s="28"/>
      <c r="I31" s="10"/>
      <c r="J31" s="11"/>
      <c r="K31" s="1"/>
      <c r="L31" s="1"/>
      <c r="M31" s="1"/>
      <c r="N31" s="5"/>
    </row>
    <row r="32" spans="1:14" s="6" customFormat="1" ht="15.95" customHeight="1" x14ac:dyDescent="0.25">
      <c r="A32" s="1"/>
      <c r="B32" s="14"/>
      <c r="C32" s="10"/>
      <c r="D32" s="10"/>
      <c r="E32" s="123"/>
      <c r="F32" s="10"/>
      <c r="G32" s="10"/>
      <c r="H32" s="28"/>
      <c r="I32" s="10"/>
      <c r="J32" s="11"/>
      <c r="K32" s="1"/>
      <c r="L32" s="1"/>
      <c r="M32" s="1"/>
      <c r="N32" s="5"/>
    </row>
    <row r="33" spans="1:14" s="6" customFormat="1" ht="15.95" customHeight="1" x14ac:dyDescent="0.25">
      <c r="A33" s="1"/>
      <c r="B33" s="14"/>
      <c r="C33" s="10" t="s">
        <v>145</v>
      </c>
      <c r="D33" s="10"/>
      <c r="E33" s="128">
        <v>11.02</v>
      </c>
      <c r="F33" s="10" t="s">
        <v>148</v>
      </c>
      <c r="G33" s="10"/>
      <c r="H33" s="23" t="s">
        <v>149</v>
      </c>
      <c r="I33" s="10"/>
      <c r="J33" s="11"/>
      <c r="K33" s="1"/>
      <c r="L33" s="1"/>
      <c r="M33" s="1"/>
      <c r="N33" s="5"/>
    </row>
    <row r="34" spans="1:14" s="6" customFormat="1" ht="15.95" customHeight="1" x14ac:dyDescent="0.25">
      <c r="A34" s="1"/>
      <c r="B34" s="14"/>
      <c r="C34" s="10" t="s">
        <v>146</v>
      </c>
      <c r="D34" s="10"/>
      <c r="E34" s="42">
        <v>95</v>
      </c>
      <c r="F34" s="10" t="s">
        <v>76</v>
      </c>
      <c r="G34" s="10"/>
      <c r="H34" s="23" t="s">
        <v>160</v>
      </c>
      <c r="I34" s="10"/>
      <c r="J34" s="11"/>
      <c r="K34" s="1"/>
      <c r="L34" s="1"/>
      <c r="M34" s="1"/>
      <c r="N34" s="5"/>
    </row>
    <row r="35" spans="1:14" s="6" customFormat="1" ht="15.95" customHeight="1" x14ac:dyDescent="0.25">
      <c r="A35" s="1"/>
      <c r="B35" s="14"/>
      <c r="C35" s="10" t="s">
        <v>147</v>
      </c>
      <c r="D35" s="10"/>
      <c r="E35" s="43">
        <v>14</v>
      </c>
      <c r="F35" s="10" t="s">
        <v>155</v>
      </c>
      <c r="G35" s="10"/>
      <c r="H35" s="23" t="s">
        <v>161</v>
      </c>
      <c r="I35" s="10"/>
      <c r="J35" s="11"/>
      <c r="K35" s="1"/>
      <c r="L35" s="1"/>
      <c r="M35" s="1"/>
      <c r="N35" s="5"/>
    </row>
    <row r="36" spans="1:14" s="6" customFormat="1" ht="15.95" customHeight="1" x14ac:dyDescent="0.25">
      <c r="A36" s="1"/>
      <c r="B36" s="14"/>
      <c r="C36" s="10" t="s">
        <v>215</v>
      </c>
      <c r="D36" s="10"/>
      <c r="E36" s="26">
        <v>150</v>
      </c>
      <c r="F36" s="10" t="s">
        <v>216</v>
      </c>
      <c r="G36" s="10"/>
      <c r="H36" s="23" t="s">
        <v>218</v>
      </c>
      <c r="I36" s="10"/>
      <c r="J36" s="11"/>
      <c r="K36" s="1"/>
      <c r="L36" s="1"/>
      <c r="M36" s="1"/>
      <c r="N36" s="5"/>
    </row>
    <row r="37" spans="1:14" s="6" customFormat="1" ht="15.95" customHeight="1" x14ac:dyDescent="0.25">
      <c r="A37" s="1"/>
      <c r="B37" s="14"/>
      <c r="C37" s="10"/>
      <c r="D37" s="10"/>
      <c r="E37" s="22"/>
      <c r="F37" s="10"/>
      <c r="G37" s="10"/>
      <c r="H37" s="23"/>
      <c r="I37" s="10"/>
      <c r="J37" s="11"/>
      <c r="K37" s="1"/>
      <c r="L37" s="1"/>
      <c r="M37" s="1"/>
      <c r="N37" s="5"/>
    </row>
    <row r="38" spans="1:14" s="6" customFormat="1" ht="15.75" customHeight="1" x14ac:dyDescent="0.25">
      <c r="A38" s="1"/>
      <c r="B38" s="14"/>
      <c r="C38" s="10" t="s">
        <v>87</v>
      </c>
      <c r="D38" s="10"/>
      <c r="E38" s="22">
        <f>(E31*E33)*(E34/100)</f>
        <v>16803.104373495997</v>
      </c>
      <c r="F38" s="10" t="s">
        <v>163</v>
      </c>
      <c r="G38" s="10"/>
      <c r="H38" s="23" t="s">
        <v>88</v>
      </c>
      <c r="I38" s="10"/>
      <c r="J38" s="11"/>
      <c r="K38" s="1"/>
      <c r="L38" s="1"/>
      <c r="M38" s="1"/>
      <c r="N38" s="5"/>
    </row>
    <row r="39" spans="1:14" s="6" customFormat="1" ht="15.95" customHeight="1" x14ac:dyDescent="0.25">
      <c r="A39" s="1"/>
      <c r="B39" s="14"/>
      <c r="C39" s="28"/>
      <c r="D39" s="10"/>
      <c r="E39" s="22"/>
      <c r="F39" s="10"/>
      <c r="G39" s="10"/>
      <c r="H39" s="120"/>
      <c r="I39" s="10"/>
      <c r="J39" s="11"/>
      <c r="K39" s="1"/>
      <c r="L39" s="1"/>
      <c r="M39" s="1"/>
      <c r="N39" s="5"/>
    </row>
    <row r="40" spans="1:14" s="6" customFormat="1" ht="15.95" customHeight="1" x14ac:dyDescent="0.25">
      <c r="A40" s="1"/>
      <c r="B40" s="140"/>
      <c r="C40" s="157"/>
      <c r="D40" s="141"/>
      <c r="E40" s="142"/>
      <c r="F40" s="141"/>
      <c r="G40" s="141"/>
      <c r="H40" s="158"/>
      <c r="I40" s="141"/>
      <c r="J40" s="143"/>
      <c r="K40" s="1"/>
      <c r="L40" s="1"/>
      <c r="M40" s="1"/>
      <c r="N40" s="5"/>
    </row>
    <row r="41" spans="1:14" s="6" customFormat="1" ht="17.25" x14ac:dyDescent="0.25">
      <c r="A41" s="1"/>
      <c r="B41" s="14"/>
      <c r="C41" s="159" t="s">
        <v>220</v>
      </c>
      <c r="D41" s="9"/>
      <c r="E41" s="22"/>
      <c r="F41" s="10"/>
      <c r="G41" s="10"/>
      <c r="H41" s="13"/>
      <c r="I41" s="10"/>
      <c r="J41" s="11"/>
      <c r="K41" s="1"/>
      <c r="L41" s="1"/>
      <c r="M41" s="1"/>
      <c r="N41" s="5"/>
    </row>
    <row r="42" spans="1:14" s="6" customFormat="1" x14ac:dyDescent="0.25">
      <c r="A42" s="1"/>
      <c r="B42" s="14"/>
      <c r="C42" s="10" t="s">
        <v>201</v>
      </c>
      <c r="D42" s="9"/>
      <c r="E42" s="160">
        <f>E31</f>
        <v>1605.0343273947844</v>
      </c>
      <c r="F42" s="10" t="s">
        <v>156</v>
      </c>
      <c r="G42" s="10"/>
      <c r="H42" s="13"/>
      <c r="I42" s="10"/>
      <c r="J42" s="11"/>
      <c r="K42" s="1"/>
      <c r="L42" s="1"/>
      <c r="M42" s="1"/>
      <c r="N42" s="5"/>
    </row>
    <row r="43" spans="1:14" s="6" customFormat="1" ht="15.95" customHeight="1" x14ac:dyDescent="0.25">
      <c r="A43" s="1"/>
      <c r="B43" s="14"/>
      <c r="C43" s="10" t="s">
        <v>217</v>
      </c>
      <c r="D43" s="10"/>
      <c r="E43" s="22">
        <f>E42*E35+E36*12</f>
        <v>24270.480583526984</v>
      </c>
      <c r="F43" s="10" t="s">
        <v>23</v>
      </c>
      <c r="G43" s="10"/>
      <c r="H43" s="10"/>
      <c r="I43" s="10"/>
      <c r="J43" s="11"/>
      <c r="K43" s="1"/>
      <c r="L43" s="1"/>
      <c r="M43" s="1"/>
      <c r="N43" s="5"/>
    </row>
    <row r="44" spans="1:14" s="6" customFormat="1" ht="15.95" customHeight="1" x14ac:dyDescent="0.25">
      <c r="A44" s="1"/>
      <c r="B44" s="14"/>
      <c r="C44" s="10" t="s">
        <v>25</v>
      </c>
      <c r="D44" s="10"/>
      <c r="E44" s="26">
        <v>1000</v>
      </c>
      <c r="F44" s="10" t="s">
        <v>4</v>
      </c>
      <c r="G44" s="10"/>
      <c r="H44" s="23" t="s">
        <v>151</v>
      </c>
      <c r="I44" s="10"/>
      <c r="J44" s="11"/>
      <c r="K44" s="1"/>
      <c r="L44" s="1"/>
      <c r="M44" s="1"/>
      <c r="N44" s="5"/>
    </row>
    <row r="45" spans="1:14" ht="15.95" customHeight="1" x14ac:dyDescent="0.25">
      <c r="B45" s="14"/>
      <c r="C45" s="10" t="s">
        <v>26</v>
      </c>
      <c r="D45" s="10"/>
      <c r="E45" s="26">
        <v>1500</v>
      </c>
      <c r="F45" s="10" t="s">
        <v>4</v>
      </c>
      <c r="G45" s="10"/>
      <c r="H45" s="23"/>
      <c r="I45" s="10"/>
      <c r="J45" s="11"/>
    </row>
    <row r="46" spans="1:14" ht="15.95" customHeight="1" x14ac:dyDescent="0.25">
      <c r="B46" s="14"/>
      <c r="C46" s="10" t="s">
        <v>82</v>
      </c>
      <c r="D46" s="10"/>
      <c r="E46" s="26">
        <v>500</v>
      </c>
      <c r="F46" s="10" t="s">
        <v>4</v>
      </c>
      <c r="G46" s="10"/>
      <c r="H46" s="23"/>
      <c r="I46" s="10"/>
      <c r="J46" s="11"/>
    </row>
    <row r="47" spans="1:14" ht="15.95" customHeight="1" x14ac:dyDescent="0.25">
      <c r="B47" s="14"/>
      <c r="C47" s="36" t="s">
        <v>29</v>
      </c>
      <c r="D47" s="36"/>
      <c r="E47" s="37">
        <f>SUM(C43:E46)</f>
        <v>27270.480583526984</v>
      </c>
      <c r="F47" s="36" t="s">
        <v>23</v>
      </c>
      <c r="G47" s="10"/>
      <c r="H47" s="13"/>
      <c r="I47" s="10"/>
      <c r="J47" s="11"/>
    </row>
    <row r="48" spans="1:14" ht="15.95" customHeight="1" x14ac:dyDescent="0.25">
      <c r="B48" s="14"/>
      <c r="C48" s="10"/>
      <c r="D48" s="10"/>
      <c r="E48" s="22"/>
      <c r="F48" s="10"/>
      <c r="G48" s="10"/>
      <c r="H48" s="13"/>
      <c r="I48" s="10"/>
      <c r="J48" s="11"/>
    </row>
    <row r="49" spans="1:14" ht="15.95" customHeight="1" x14ac:dyDescent="0.25">
      <c r="B49" s="14"/>
      <c r="C49" s="9" t="s">
        <v>222</v>
      </c>
      <c r="D49" s="10"/>
      <c r="E49" s="22"/>
      <c r="F49" s="10"/>
      <c r="G49" s="10"/>
      <c r="H49" s="13"/>
      <c r="I49" s="10"/>
      <c r="J49" s="11"/>
    </row>
    <row r="50" spans="1:14" ht="15.95" customHeight="1" x14ac:dyDescent="0.25">
      <c r="B50" s="14"/>
      <c r="C50" s="10" t="s">
        <v>32</v>
      </c>
      <c r="D50" s="10"/>
      <c r="E50" s="26">
        <v>5</v>
      </c>
      <c r="F50" s="10" t="s">
        <v>27</v>
      </c>
      <c r="G50" s="10"/>
      <c r="H50" s="13"/>
      <c r="I50" s="10"/>
      <c r="J50" s="11"/>
    </row>
    <row r="51" spans="1:14" ht="15.95" customHeight="1" x14ac:dyDescent="0.25">
      <c r="B51" s="14"/>
      <c r="C51" s="10" t="s">
        <v>90</v>
      </c>
      <c r="D51" s="10"/>
      <c r="E51" s="26">
        <v>25000</v>
      </c>
      <c r="F51" s="10" t="s">
        <v>2</v>
      </c>
      <c r="G51" s="10"/>
      <c r="H51" s="28" t="s">
        <v>197</v>
      </c>
      <c r="I51" s="10"/>
      <c r="J51" s="11"/>
    </row>
    <row r="52" spans="1:14" ht="15.95" customHeight="1" x14ac:dyDescent="0.25">
      <c r="B52" s="14"/>
      <c r="C52" s="10" t="s">
        <v>37</v>
      </c>
      <c r="D52" s="10"/>
      <c r="E52" s="26">
        <v>20</v>
      </c>
      <c r="F52" s="10" t="s">
        <v>27</v>
      </c>
      <c r="G52" s="10"/>
      <c r="H52" s="220" t="s">
        <v>223</v>
      </c>
      <c r="I52" s="220"/>
      <c r="J52" s="221"/>
    </row>
    <row r="53" spans="1:14" ht="15.95" customHeight="1" x14ac:dyDescent="0.25">
      <c r="B53" s="14"/>
      <c r="C53" s="10" t="s">
        <v>44</v>
      </c>
      <c r="D53" s="59">
        <v>0.03</v>
      </c>
      <c r="E53" s="22">
        <f>IFERROR(-PMT(D53,E52,E51),"")</f>
        <v>1680.392689921478</v>
      </c>
      <c r="F53" s="10" t="s">
        <v>4</v>
      </c>
      <c r="G53" s="10"/>
      <c r="H53" s="220"/>
      <c r="I53" s="220"/>
      <c r="J53" s="221"/>
    </row>
    <row r="54" spans="1:14" ht="15.95" customHeight="1" x14ac:dyDescent="0.25">
      <c r="B54" s="14"/>
      <c r="C54" s="10"/>
      <c r="D54" s="57"/>
      <c r="E54" s="22"/>
      <c r="F54" s="10"/>
      <c r="G54" s="10"/>
      <c r="H54" s="13"/>
      <c r="I54" s="10"/>
      <c r="J54" s="11"/>
    </row>
    <row r="55" spans="1:14" ht="15.95" customHeight="1" x14ac:dyDescent="0.25">
      <c r="B55" s="14"/>
      <c r="C55" s="36" t="s">
        <v>46</v>
      </c>
      <c r="D55" s="36"/>
      <c r="E55" s="37">
        <f>IFERROR(E53+E47,"")</f>
        <v>28950.873273448462</v>
      </c>
      <c r="F55" s="36" t="s">
        <v>23</v>
      </c>
      <c r="G55" s="10"/>
      <c r="H55" s="13"/>
      <c r="I55" s="10"/>
      <c r="J55" s="11"/>
    </row>
    <row r="56" spans="1:14" s="6" customFormat="1" ht="15.95" customHeight="1" thickBot="1" x14ac:dyDescent="0.3">
      <c r="A56" s="1"/>
      <c r="B56" s="38"/>
      <c r="C56" s="39"/>
      <c r="D56" s="39"/>
      <c r="E56" s="40"/>
      <c r="F56" s="39"/>
      <c r="G56" s="39"/>
      <c r="H56" s="45"/>
      <c r="I56" s="39"/>
      <c r="J56" s="41"/>
      <c r="K56" s="1"/>
      <c r="L56" s="1"/>
      <c r="M56" s="1"/>
      <c r="N56" s="5"/>
    </row>
    <row r="57" spans="1:14" s="6" customFormat="1" ht="15.95" customHeight="1" x14ac:dyDescent="0.25">
      <c r="A57" s="10"/>
      <c r="B57" s="10"/>
      <c r="C57" s="10"/>
      <c r="D57" s="10"/>
      <c r="E57" s="22"/>
      <c r="F57" s="10"/>
      <c r="G57" s="10"/>
      <c r="H57" s="13"/>
      <c r="I57" s="10"/>
      <c r="J57" s="10"/>
      <c r="K57" s="10"/>
      <c r="L57" s="1"/>
      <c r="M57" s="1"/>
      <c r="N57" s="5"/>
    </row>
    <row r="58" spans="1:14" s="6" customFormat="1" ht="15.95" customHeight="1" thickBot="1" x14ac:dyDescent="0.3">
      <c r="A58" s="10"/>
      <c r="B58" s="10"/>
      <c r="C58" s="10"/>
      <c r="D58" s="10"/>
      <c r="E58" s="22"/>
      <c r="F58" s="10"/>
      <c r="G58" s="10"/>
      <c r="H58" s="13"/>
      <c r="I58" s="10"/>
      <c r="J58" s="10"/>
      <c r="K58" s="10"/>
      <c r="L58" s="1"/>
      <c r="M58" s="1"/>
      <c r="N58" s="5"/>
    </row>
    <row r="59" spans="1:14" s="6" customFormat="1" ht="37.5" customHeight="1" x14ac:dyDescent="0.25">
      <c r="A59" s="1"/>
      <c r="B59" s="2"/>
      <c r="C59" s="3"/>
      <c r="D59" s="3"/>
      <c r="E59" s="3"/>
      <c r="F59" s="3"/>
      <c r="G59" s="3"/>
      <c r="H59" s="3"/>
      <c r="I59" s="3"/>
      <c r="J59" s="4"/>
      <c r="K59" s="1"/>
      <c r="L59" s="1"/>
      <c r="M59" s="1"/>
      <c r="N59" s="5"/>
    </row>
    <row r="60" spans="1:14" s="6" customFormat="1" ht="38.25" customHeight="1" thickBot="1" x14ac:dyDescent="0.3">
      <c r="A60" s="1"/>
      <c r="B60" s="38"/>
      <c r="C60" s="212"/>
      <c r="D60" s="212"/>
      <c r="E60" s="212"/>
      <c r="F60" s="212"/>
      <c r="G60" s="212"/>
      <c r="H60" s="212"/>
      <c r="I60" s="212"/>
      <c r="J60" s="41"/>
      <c r="K60" s="1"/>
      <c r="L60" s="1"/>
      <c r="M60" s="1"/>
      <c r="N60" s="5"/>
    </row>
    <row r="61" spans="1:14" s="6" customFormat="1" ht="18" customHeight="1" x14ac:dyDescent="0.25">
      <c r="A61" s="1"/>
      <c r="B61" s="14"/>
      <c r="C61" s="56"/>
      <c r="D61" s="56"/>
      <c r="E61" s="56"/>
      <c r="F61" s="56"/>
      <c r="G61" s="56"/>
      <c r="H61" s="56"/>
      <c r="I61" s="56"/>
      <c r="J61" s="11"/>
      <c r="K61" s="1"/>
      <c r="L61" s="1"/>
      <c r="M61" s="1"/>
      <c r="N61" s="5"/>
    </row>
    <row r="62" spans="1:14" s="6" customFormat="1" ht="15.95" customHeight="1" x14ac:dyDescent="0.25">
      <c r="A62" s="1"/>
      <c r="B62" s="14"/>
      <c r="C62" s="47" t="s">
        <v>167</v>
      </c>
      <c r="D62" s="9"/>
      <c r="E62" s="22"/>
      <c r="F62" s="10"/>
      <c r="G62" s="10"/>
      <c r="H62" s="13"/>
      <c r="I62" s="10"/>
      <c r="J62" s="11"/>
      <c r="K62" s="1"/>
      <c r="L62" s="1"/>
      <c r="M62" s="1"/>
      <c r="N62" s="5"/>
    </row>
    <row r="63" spans="1:14" s="6" customFormat="1" ht="15.95" customHeight="1" x14ac:dyDescent="0.25">
      <c r="A63" s="1"/>
      <c r="B63" s="14"/>
      <c r="C63" s="215" t="s">
        <v>57</v>
      </c>
      <c r="D63" s="215"/>
      <c r="E63" s="215"/>
      <c r="F63" s="215"/>
      <c r="G63" s="215"/>
      <c r="H63" s="215"/>
      <c r="I63" s="215"/>
      <c r="J63" s="218"/>
      <c r="K63" s="74"/>
      <c r="L63" s="1"/>
      <c r="M63" s="1"/>
      <c r="N63" s="5"/>
    </row>
    <row r="64" spans="1:14" s="6" customFormat="1" ht="15.95" customHeight="1" x14ac:dyDescent="0.25">
      <c r="A64" s="1"/>
      <c r="B64" s="14"/>
      <c r="C64" s="75" t="s">
        <v>61</v>
      </c>
      <c r="D64" s="20"/>
      <c r="E64" s="26"/>
      <c r="F64" s="20"/>
      <c r="G64" s="10"/>
      <c r="H64" s="13"/>
      <c r="I64" s="10"/>
      <c r="J64" s="11"/>
      <c r="K64" s="1"/>
      <c r="L64" s="1"/>
      <c r="M64" s="1"/>
      <c r="N64" s="5"/>
    </row>
    <row r="65" spans="1:14" s="6" customFormat="1" ht="15.95" customHeight="1" x14ac:dyDescent="0.25">
      <c r="A65" s="1"/>
      <c r="B65" s="14"/>
      <c r="C65" s="93" t="s">
        <v>101</v>
      </c>
      <c r="D65" s="92"/>
      <c r="E65" s="89"/>
      <c r="F65" s="92"/>
      <c r="G65" s="9"/>
      <c r="H65" s="10"/>
      <c r="I65" s="10"/>
      <c r="J65" s="11"/>
      <c r="K65" s="1"/>
      <c r="L65" s="1"/>
      <c r="M65" s="1"/>
      <c r="N65" s="5"/>
    </row>
    <row r="66" spans="1:14" s="6" customFormat="1" ht="15.95" customHeight="1" x14ac:dyDescent="0.25">
      <c r="A66" s="1"/>
      <c r="B66" s="16"/>
      <c r="C66" s="60"/>
      <c r="D66" s="17"/>
      <c r="E66" s="25"/>
      <c r="F66" s="17"/>
      <c r="G66" s="17"/>
      <c r="H66" s="18"/>
      <c r="I66" s="17"/>
      <c r="J66" s="7"/>
      <c r="K66" s="1"/>
      <c r="L66" s="1"/>
      <c r="M66" s="1"/>
      <c r="N66" s="5"/>
    </row>
    <row r="67" spans="1:14" ht="15.95" customHeight="1" x14ac:dyDescent="0.25">
      <c r="B67" s="14"/>
      <c r="C67" s="10"/>
      <c r="D67" s="10"/>
      <c r="E67" s="10"/>
      <c r="F67" s="10"/>
      <c r="G67" s="10"/>
      <c r="H67" s="10"/>
      <c r="I67" s="10"/>
      <c r="J67" s="11"/>
    </row>
    <row r="68" spans="1:14" s="6" customFormat="1" ht="15.95" customHeight="1" x14ac:dyDescent="0.25">
      <c r="A68" s="1"/>
      <c r="B68" s="14"/>
      <c r="C68" s="12" t="s">
        <v>17</v>
      </c>
      <c r="D68" s="9"/>
      <c r="E68" s="10"/>
      <c r="F68" s="10"/>
      <c r="G68" s="10"/>
      <c r="H68" s="13"/>
      <c r="I68" s="10"/>
      <c r="J68" s="11"/>
      <c r="K68" s="1"/>
      <c r="L68" s="1"/>
      <c r="M68" s="1"/>
      <c r="N68" s="5"/>
    </row>
    <row r="69" spans="1:14" s="6" customFormat="1" ht="15.95" customHeight="1" x14ac:dyDescent="0.25">
      <c r="A69" s="1"/>
      <c r="B69" s="14"/>
      <c r="C69" s="10" t="s">
        <v>55</v>
      </c>
      <c r="D69" s="10"/>
      <c r="E69" s="19">
        <v>28.75</v>
      </c>
      <c r="F69" s="89" t="s">
        <v>15</v>
      </c>
      <c r="G69" s="10"/>
      <c r="H69" s="162" t="s">
        <v>59</v>
      </c>
      <c r="I69" s="10"/>
      <c r="J69" s="11"/>
      <c r="K69" s="1"/>
      <c r="L69" s="1"/>
      <c r="M69" s="1"/>
      <c r="N69" s="5"/>
    </row>
    <row r="70" spans="1:14" s="6" customFormat="1" ht="15.95" customHeight="1" x14ac:dyDescent="0.25">
      <c r="A70" s="1"/>
      <c r="B70" s="14"/>
      <c r="C70" s="10" t="s">
        <v>13</v>
      </c>
      <c r="D70" s="10"/>
      <c r="E70" s="19">
        <v>750</v>
      </c>
      <c r="F70" s="10" t="s">
        <v>4</v>
      </c>
      <c r="G70" s="10"/>
      <c r="H70" s="13"/>
      <c r="I70" s="10"/>
      <c r="J70" s="11"/>
      <c r="K70" s="1"/>
      <c r="L70" s="1"/>
      <c r="M70" s="1"/>
      <c r="N70" s="5"/>
    </row>
    <row r="71" spans="1:14" s="6" customFormat="1" ht="15.95" customHeight="1" x14ac:dyDescent="0.25">
      <c r="A71" s="1"/>
      <c r="B71" s="14"/>
      <c r="C71" s="10" t="s">
        <v>14</v>
      </c>
      <c r="D71" s="10"/>
      <c r="E71" s="19">
        <v>600</v>
      </c>
      <c r="F71" s="10" t="s">
        <v>16</v>
      </c>
      <c r="G71" s="10"/>
      <c r="H71" s="13"/>
      <c r="I71" s="10"/>
      <c r="J71" s="11"/>
      <c r="K71" s="1"/>
      <c r="L71" s="1"/>
      <c r="M71" s="1"/>
      <c r="N71" s="5"/>
    </row>
    <row r="72" spans="1:14" s="6" customFormat="1" ht="15.95" customHeight="1" x14ac:dyDescent="0.25">
      <c r="A72" s="1"/>
      <c r="B72" s="16"/>
      <c r="C72" s="17"/>
      <c r="D72" s="17"/>
      <c r="E72" s="21"/>
      <c r="F72" s="17"/>
      <c r="G72" s="17"/>
      <c r="H72" s="18"/>
      <c r="I72" s="17"/>
      <c r="J72" s="7"/>
      <c r="K72" s="1"/>
      <c r="L72" s="1"/>
      <c r="M72" s="1"/>
      <c r="N72" s="5"/>
    </row>
    <row r="73" spans="1:14" ht="15.95" customHeight="1" x14ac:dyDescent="0.25">
      <c r="B73" s="14"/>
      <c r="C73" s="10"/>
      <c r="D73" s="10"/>
      <c r="E73" s="22"/>
      <c r="F73" s="10"/>
      <c r="G73" s="10"/>
      <c r="H73" s="13"/>
      <c r="I73" s="10"/>
      <c r="J73" s="11"/>
    </row>
    <row r="74" spans="1:14" ht="17.25" x14ac:dyDescent="0.25">
      <c r="B74" s="14"/>
      <c r="C74" s="159" t="s">
        <v>221</v>
      </c>
      <c r="D74" s="9"/>
      <c r="E74" s="22"/>
      <c r="F74" s="10"/>
      <c r="G74" s="10"/>
      <c r="H74" s="13"/>
      <c r="I74" s="10"/>
      <c r="J74" s="30"/>
      <c r="K74" s="31"/>
    </row>
    <row r="75" spans="1:14" ht="15.95" customHeight="1" x14ac:dyDescent="0.25">
      <c r="B75" s="14"/>
      <c r="C75" s="10" t="s">
        <v>55</v>
      </c>
      <c r="D75" s="10"/>
      <c r="E75" s="22">
        <f>IF(F69="kr./m2",E22*E69,IF(F69="kr./år",E69,""))</f>
        <v>3737.5</v>
      </c>
      <c r="F75" s="10" t="s">
        <v>4</v>
      </c>
      <c r="G75" s="10"/>
      <c r="H75" s="13"/>
      <c r="I75" s="10"/>
      <c r="J75" s="30"/>
      <c r="K75" s="31"/>
    </row>
    <row r="76" spans="1:14" ht="15.95" customHeight="1" x14ac:dyDescent="0.25">
      <c r="B76" s="14"/>
      <c r="C76" s="10" t="s">
        <v>13</v>
      </c>
      <c r="D76" s="10"/>
      <c r="E76" s="22">
        <f>E70</f>
        <v>750</v>
      </c>
      <c r="F76" s="10" t="s">
        <v>4</v>
      </c>
      <c r="G76" s="10"/>
      <c r="H76" s="13"/>
      <c r="I76" s="10"/>
      <c r="J76" s="32"/>
      <c r="K76" s="33"/>
    </row>
    <row r="77" spans="1:14" ht="15.95" customHeight="1" x14ac:dyDescent="0.25">
      <c r="B77" s="14"/>
      <c r="C77" s="10" t="s">
        <v>14</v>
      </c>
      <c r="D77" s="10"/>
      <c r="E77" s="22">
        <f>E38/1000*E71</f>
        <v>10081.862624097599</v>
      </c>
      <c r="F77" s="10" t="s">
        <v>23</v>
      </c>
      <c r="G77" s="10"/>
      <c r="H77" s="13"/>
      <c r="I77" s="10"/>
      <c r="J77" s="32"/>
      <c r="K77" s="33"/>
    </row>
    <row r="78" spans="1:14" ht="15.95" customHeight="1" x14ac:dyDescent="0.25">
      <c r="B78" s="14"/>
      <c r="C78" s="10" t="s">
        <v>24</v>
      </c>
      <c r="D78" s="10"/>
      <c r="E78" s="26">
        <v>0</v>
      </c>
      <c r="F78" s="10" t="s">
        <v>4</v>
      </c>
      <c r="G78" s="10"/>
      <c r="H78" s="13"/>
      <c r="I78" s="10"/>
      <c r="J78" s="34"/>
      <c r="K78" s="35"/>
    </row>
    <row r="79" spans="1:14" ht="15.95" customHeight="1" x14ac:dyDescent="0.25">
      <c r="B79" s="14"/>
      <c r="C79" s="36" t="s">
        <v>29</v>
      </c>
      <c r="D79" s="36"/>
      <c r="E79" s="37">
        <f>SUM(E75:E78)</f>
        <v>14569.362624097599</v>
      </c>
      <c r="F79" s="36" t="s">
        <v>23</v>
      </c>
      <c r="G79" s="10"/>
      <c r="H79" s="13"/>
      <c r="I79" s="10"/>
      <c r="J79" s="30"/>
      <c r="K79" s="31"/>
    </row>
    <row r="80" spans="1:14" ht="15.95" customHeight="1" x14ac:dyDescent="0.25">
      <c r="B80" s="14"/>
      <c r="C80" s="10"/>
      <c r="D80" s="10"/>
      <c r="E80" s="22"/>
      <c r="F80" s="10"/>
      <c r="G80" s="10"/>
      <c r="H80" s="13"/>
      <c r="I80" s="10"/>
      <c r="J80" s="30"/>
      <c r="K80" s="31"/>
    </row>
    <row r="81" spans="1:14" ht="15.95" customHeight="1" x14ac:dyDescent="0.25">
      <c r="B81" s="14"/>
      <c r="C81" s="9" t="s">
        <v>279</v>
      </c>
      <c r="D81" s="139" t="s">
        <v>19</v>
      </c>
      <c r="E81" s="26">
        <v>0</v>
      </c>
      <c r="F81" s="10" t="str">
        <f>IF(D81="Ja","kr./måned","Anvendes ikke")</f>
        <v>Anvendes ikke</v>
      </c>
      <c r="G81" s="10"/>
      <c r="H81" s="222" t="str">
        <f>IF(OR(D81="Ja",D82="Ja"),"Husk: Tilpas de af nedenstående investeringsom-kostninger samt service og vedligehold herover, som evt. dækkes af abonnementet eller tillægget. Værdierne er makeret med rød tekstfarve.","")</f>
        <v/>
      </c>
      <c r="I81" s="222"/>
      <c r="J81" s="223"/>
      <c r="K81" s="31"/>
    </row>
    <row r="82" spans="1:14" ht="15.95" customHeight="1" x14ac:dyDescent="0.25">
      <c r="B82" s="14"/>
      <c r="C82" s="9" t="s">
        <v>214</v>
      </c>
      <c r="D82" s="139" t="s">
        <v>19</v>
      </c>
      <c r="E82" s="26">
        <v>0</v>
      </c>
      <c r="F82" s="10" t="str">
        <f>IF(D82="Ja","kr./måned","Anvendes ikke")</f>
        <v>Anvendes ikke</v>
      </c>
      <c r="G82" s="10"/>
      <c r="H82" s="222"/>
      <c r="I82" s="222"/>
      <c r="J82" s="223"/>
      <c r="K82" s="31"/>
    </row>
    <row r="83" spans="1:14" ht="15.95" customHeight="1" x14ac:dyDescent="0.25">
      <c r="B83" s="14"/>
      <c r="C83" s="10" t="s">
        <v>278</v>
      </c>
      <c r="D83" s="179"/>
      <c r="E83" s="26">
        <v>15</v>
      </c>
      <c r="F83" s="10" t="s">
        <v>0</v>
      </c>
      <c r="G83" s="10"/>
      <c r="H83" s="222"/>
      <c r="I83" s="222"/>
      <c r="J83" s="223"/>
      <c r="K83" s="31"/>
    </row>
    <row r="84" spans="1:14" ht="15.95" customHeight="1" x14ac:dyDescent="0.25">
      <c r="B84" s="14"/>
      <c r="C84" s="10"/>
      <c r="D84" s="163"/>
      <c r="E84" s="164"/>
      <c r="F84" s="144"/>
      <c r="G84" s="10"/>
      <c r="H84" s="222"/>
      <c r="I84" s="222"/>
      <c r="J84" s="223"/>
      <c r="K84" s="31"/>
    </row>
    <row r="85" spans="1:14" s="6" customFormat="1" ht="15.95" customHeight="1" x14ac:dyDescent="0.25">
      <c r="A85" s="1"/>
      <c r="B85" s="14"/>
      <c r="C85" s="9" t="s">
        <v>277</v>
      </c>
      <c r="D85" s="10"/>
      <c r="E85" s="10"/>
      <c r="F85" s="10"/>
      <c r="G85" s="10"/>
      <c r="H85" s="28"/>
      <c r="I85" s="10"/>
      <c r="J85" s="11"/>
      <c r="K85" s="1"/>
      <c r="L85" s="1"/>
      <c r="M85" s="1"/>
      <c r="N85" s="5"/>
    </row>
    <row r="86" spans="1:14" s="6" customFormat="1" ht="15.95" customHeight="1" x14ac:dyDescent="0.25">
      <c r="A86" s="1"/>
      <c r="B86" s="14"/>
      <c r="C86" s="10" t="s">
        <v>187</v>
      </c>
      <c r="D86" s="10"/>
      <c r="E86" s="26">
        <v>25000</v>
      </c>
      <c r="F86" s="10" t="s">
        <v>2</v>
      </c>
      <c r="G86" s="10"/>
      <c r="H86" s="28"/>
      <c r="I86" s="10"/>
      <c r="J86" s="11"/>
      <c r="K86" s="1"/>
      <c r="L86" s="1"/>
      <c r="M86" s="1"/>
      <c r="N86" s="5"/>
    </row>
    <row r="87" spans="1:14" s="6" customFormat="1" ht="15.95" customHeight="1" x14ac:dyDescent="0.25">
      <c r="A87" s="1"/>
      <c r="B87" s="14"/>
      <c r="C87" s="10" t="s">
        <v>188</v>
      </c>
      <c r="D87" s="10"/>
      <c r="E87" s="26">
        <v>0</v>
      </c>
      <c r="F87" s="10" t="s">
        <v>2</v>
      </c>
      <c r="G87" s="10"/>
      <c r="H87" s="177" t="s">
        <v>275</v>
      </c>
      <c r="I87" s="10"/>
      <c r="J87" s="11"/>
      <c r="K87" s="1"/>
      <c r="L87" s="1"/>
      <c r="M87" s="1"/>
      <c r="N87" s="5"/>
    </row>
    <row r="88" spans="1:14" s="6" customFormat="1" ht="15.95" customHeight="1" x14ac:dyDescent="0.25">
      <c r="A88" s="1"/>
      <c r="B88" s="14"/>
      <c r="C88" s="137" t="s">
        <v>266</v>
      </c>
      <c r="D88" s="10"/>
      <c r="E88" s="138">
        <v>0</v>
      </c>
      <c r="F88" s="28" t="s">
        <v>2</v>
      </c>
      <c r="G88" s="10"/>
      <c r="H88" s="28" t="s">
        <v>264</v>
      </c>
      <c r="I88" s="10"/>
      <c r="J88" s="11"/>
      <c r="K88" s="1"/>
      <c r="L88" s="1"/>
      <c r="M88" s="1"/>
      <c r="N88" s="5"/>
    </row>
    <row r="89" spans="1:14" s="6" customFormat="1" ht="15.95" customHeight="1" x14ac:dyDescent="0.25">
      <c r="A89" s="1"/>
      <c r="B89" s="14"/>
      <c r="C89" s="10" t="s">
        <v>194</v>
      </c>
      <c r="D89" s="10"/>
      <c r="E89" s="26">
        <v>0</v>
      </c>
      <c r="F89" s="10" t="s">
        <v>2</v>
      </c>
      <c r="G89" s="10"/>
      <c r="H89" s="28" t="s">
        <v>169</v>
      </c>
      <c r="I89" s="10"/>
      <c r="J89" s="11"/>
      <c r="K89" s="1"/>
      <c r="L89" s="1"/>
      <c r="M89" s="1"/>
      <c r="N89" s="5"/>
    </row>
    <row r="90" spans="1:14" s="6" customFormat="1" ht="15.95" customHeight="1" x14ac:dyDescent="0.25">
      <c r="A90" s="1"/>
      <c r="B90" s="14"/>
      <c r="C90" s="10"/>
      <c r="D90" s="10"/>
      <c r="E90" s="22"/>
      <c r="F90" s="10"/>
      <c r="G90" s="10"/>
      <c r="H90" s="28"/>
      <c r="I90" s="10"/>
      <c r="J90" s="11"/>
      <c r="K90" s="1"/>
      <c r="L90" s="1"/>
      <c r="M90" s="1"/>
      <c r="N90" s="5"/>
    </row>
    <row r="91" spans="1:14" s="6" customFormat="1" ht="15.95" customHeight="1" x14ac:dyDescent="0.25">
      <c r="A91" s="1"/>
      <c r="B91" s="14"/>
      <c r="C91" s="10" t="s">
        <v>290</v>
      </c>
      <c r="D91" s="10"/>
      <c r="E91" s="22">
        <f>E86+E87-E88*0.26+E89</f>
        <v>25000</v>
      </c>
      <c r="F91" s="10" t="s">
        <v>2</v>
      </c>
      <c r="G91" s="10"/>
      <c r="H91" s="220" t="s">
        <v>276</v>
      </c>
      <c r="I91" s="220"/>
      <c r="J91" s="221"/>
      <c r="K91" s="1"/>
      <c r="L91" s="1"/>
      <c r="M91" s="1"/>
      <c r="N91" s="5"/>
    </row>
    <row r="92" spans="1:14" s="6" customFormat="1" ht="15.95" customHeight="1" x14ac:dyDescent="0.25">
      <c r="A92" s="1"/>
      <c r="B92" s="14"/>
      <c r="C92" s="10" t="s">
        <v>289</v>
      </c>
      <c r="D92" s="10"/>
      <c r="E92" s="26">
        <v>30</v>
      </c>
      <c r="F92" s="10" t="s">
        <v>27</v>
      </c>
      <c r="G92" s="10"/>
      <c r="H92" s="220"/>
      <c r="I92" s="220"/>
      <c r="J92" s="221"/>
      <c r="K92" s="1"/>
      <c r="L92" s="1"/>
      <c r="M92" s="1"/>
      <c r="N92" s="5"/>
    </row>
    <row r="93" spans="1:14" s="6" customFormat="1" ht="15.95" customHeight="1" x14ac:dyDescent="0.25">
      <c r="A93" s="1"/>
      <c r="B93" s="14"/>
      <c r="C93" s="10" t="s">
        <v>229</v>
      </c>
      <c r="D93" s="59">
        <v>0.03</v>
      </c>
      <c r="E93" s="155">
        <f>IF(E92=1,E91,IFERROR(-PMT(D93,E92,E91),"0"))</f>
        <v>1275.4814830063144</v>
      </c>
      <c r="F93" s="36" t="str">
        <f>"kr./år i "&amp; E92&amp;" år"</f>
        <v>kr./år i 30 år</v>
      </c>
      <c r="G93" s="10"/>
      <c r="H93" s="220"/>
      <c r="I93" s="220"/>
      <c r="J93" s="221"/>
      <c r="K93" s="1"/>
      <c r="L93" s="1"/>
      <c r="M93" s="1"/>
      <c r="N93" s="5"/>
    </row>
    <row r="94" spans="1:14" s="6" customFormat="1" ht="15.95" customHeight="1" x14ac:dyDescent="0.25">
      <c r="A94" s="1"/>
      <c r="B94" s="14"/>
      <c r="C94" s="10"/>
      <c r="D94" s="10"/>
      <c r="E94" s="22"/>
      <c r="F94" s="10"/>
      <c r="G94" s="10"/>
      <c r="H94" s="125"/>
      <c r="I94" s="125"/>
      <c r="J94" s="126"/>
      <c r="K94" s="1"/>
      <c r="L94" s="1"/>
      <c r="M94" s="1"/>
      <c r="N94" s="5"/>
    </row>
    <row r="95" spans="1:14" s="6" customFormat="1" ht="15.95" customHeight="1" x14ac:dyDescent="0.25">
      <c r="A95" s="1"/>
      <c r="B95" s="14"/>
      <c r="C95" s="9" t="s">
        <v>185</v>
      </c>
      <c r="D95" s="10"/>
      <c r="E95" s="26">
        <v>40000</v>
      </c>
      <c r="F95" s="10" t="s">
        <v>2</v>
      </c>
      <c r="G95" s="10"/>
      <c r="H95" s="28"/>
      <c r="I95" s="10"/>
      <c r="J95" s="11"/>
      <c r="K95" s="1"/>
      <c r="L95" s="1"/>
      <c r="M95" s="1"/>
      <c r="N95" s="5"/>
    </row>
    <row r="96" spans="1:14" s="6" customFormat="1" ht="15.95" customHeight="1" x14ac:dyDescent="0.25">
      <c r="A96" s="1"/>
      <c r="B96" s="14"/>
      <c r="C96" s="137" t="s">
        <v>189</v>
      </c>
      <c r="D96" s="10"/>
      <c r="E96" s="138">
        <v>0</v>
      </c>
      <c r="F96" s="28" t="s">
        <v>2</v>
      </c>
      <c r="G96" s="10"/>
      <c r="H96" s="28" t="s">
        <v>213</v>
      </c>
      <c r="I96" s="10"/>
      <c r="J96" s="11"/>
      <c r="K96" s="1"/>
      <c r="L96" s="1"/>
      <c r="M96" s="1"/>
      <c r="N96" s="5"/>
    </row>
    <row r="97" spans="1:14" s="6" customFormat="1" ht="15.95" customHeight="1" x14ac:dyDescent="0.25">
      <c r="A97" s="1"/>
      <c r="B97" s="14"/>
      <c r="C97" s="10" t="s">
        <v>228</v>
      </c>
      <c r="D97" s="10"/>
      <c r="E97" s="22">
        <f>E95-E96*0.26</f>
        <v>40000</v>
      </c>
      <c r="F97" s="10" t="s">
        <v>2</v>
      </c>
      <c r="G97" s="10"/>
      <c r="H97" s="28"/>
      <c r="I97" s="10"/>
      <c r="J97" s="11"/>
      <c r="K97" s="1"/>
      <c r="L97" s="1"/>
      <c r="M97" s="1"/>
      <c r="N97" s="5"/>
    </row>
    <row r="98" spans="1:14" s="6" customFormat="1" ht="15.95" customHeight="1" x14ac:dyDescent="0.25">
      <c r="A98" s="1"/>
      <c r="B98" s="14"/>
      <c r="C98" s="10" t="s">
        <v>225</v>
      </c>
      <c r="D98" s="10"/>
      <c r="E98" s="26">
        <v>20</v>
      </c>
      <c r="F98" s="10" t="s">
        <v>27</v>
      </c>
      <c r="G98" s="10"/>
      <c r="H98" s="13"/>
      <c r="I98" s="10"/>
      <c r="J98" s="11"/>
      <c r="K98" s="1"/>
      <c r="L98" s="1"/>
      <c r="M98" s="1"/>
      <c r="N98" s="5"/>
    </row>
    <row r="99" spans="1:14" s="6" customFormat="1" ht="15.95" customHeight="1" x14ac:dyDescent="0.25">
      <c r="A99" s="1"/>
      <c r="B99" s="14"/>
      <c r="C99" s="10" t="s">
        <v>226</v>
      </c>
      <c r="D99" s="59">
        <v>0.03</v>
      </c>
      <c r="E99" s="155">
        <f>IF(E98=1,E97,IFERROR(-PMT(D99,E98,E97),"0"))</f>
        <v>2688.628303874365</v>
      </c>
      <c r="F99" s="36" t="str">
        <f>"kr./år i "&amp; E98&amp;" år"</f>
        <v>kr./år i 20 år</v>
      </c>
      <c r="G99" s="10"/>
      <c r="H99" s="22"/>
      <c r="I99" s="10"/>
      <c r="J99" s="11"/>
      <c r="K99" s="1"/>
      <c r="L99" s="1"/>
      <c r="M99" s="1"/>
      <c r="N99" s="5"/>
    </row>
    <row r="100" spans="1:14" s="6" customFormat="1" ht="15.95" customHeight="1" x14ac:dyDescent="0.25">
      <c r="A100" s="1"/>
      <c r="B100" s="14"/>
      <c r="C100" s="10"/>
      <c r="D100" s="57"/>
      <c r="E100" s="22"/>
      <c r="F100" s="10"/>
      <c r="G100" s="10"/>
      <c r="H100" s="224" t="s">
        <v>287</v>
      </c>
      <c r="I100" s="224"/>
      <c r="J100" s="225"/>
      <c r="K100" s="1"/>
      <c r="L100" s="1"/>
      <c r="M100" s="1"/>
      <c r="N100" s="5"/>
    </row>
    <row r="101" spans="1:14" s="6" customFormat="1" ht="15.95" customHeight="1" x14ac:dyDescent="0.25">
      <c r="A101" s="1"/>
      <c r="B101" s="14"/>
      <c r="C101" s="10" t="s">
        <v>230</v>
      </c>
      <c r="D101" s="10"/>
      <c r="E101" s="26">
        <v>15000</v>
      </c>
      <c r="F101" s="10" t="s">
        <v>2</v>
      </c>
      <c r="G101" s="10"/>
      <c r="H101" s="224"/>
      <c r="I101" s="224"/>
      <c r="J101" s="225"/>
      <c r="K101" s="1"/>
      <c r="L101" s="1"/>
      <c r="M101" s="1"/>
      <c r="N101" s="5"/>
    </row>
    <row r="102" spans="1:14" s="6" customFormat="1" ht="15.95" customHeight="1" x14ac:dyDescent="0.25">
      <c r="A102" s="1"/>
      <c r="B102" s="14"/>
      <c r="C102" s="10" t="s">
        <v>37</v>
      </c>
      <c r="D102" s="10"/>
      <c r="E102" s="26">
        <v>20</v>
      </c>
      <c r="F102" s="10" t="s">
        <v>27</v>
      </c>
      <c r="G102" s="10"/>
      <c r="H102" s="224"/>
      <c r="I102" s="224"/>
      <c r="J102" s="225"/>
      <c r="K102" s="1"/>
      <c r="L102" s="1"/>
      <c r="M102" s="1"/>
      <c r="N102" s="5"/>
    </row>
    <row r="103" spans="1:14" s="6" customFormat="1" ht="15.95" customHeight="1" x14ac:dyDescent="0.25">
      <c r="A103" s="1"/>
      <c r="B103" s="14"/>
      <c r="C103" s="10" t="s">
        <v>44</v>
      </c>
      <c r="D103" s="59">
        <v>0.03</v>
      </c>
      <c r="E103" s="155">
        <f>IF(E102=1,E101,IFERROR(-PMT(D103,E102,E101),"0"))</f>
        <v>1008.2356139528869</v>
      </c>
      <c r="F103" s="36" t="str">
        <f>"kr./år i "&amp; E102&amp;" år"</f>
        <v>kr./år i 20 år</v>
      </c>
      <c r="G103" s="10"/>
      <c r="H103" s="224"/>
      <c r="I103" s="224"/>
      <c r="J103" s="225"/>
      <c r="K103" s="1"/>
      <c r="L103" s="1"/>
      <c r="M103" s="1"/>
      <c r="N103" s="5"/>
    </row>
    <row r="104" spans="1:14" s="6" customFormat="1" ht="15.95" customHeight="1" x14ac:dyDescent="0.25">
      <c r="A104" s="1"/>
      <c r="B104" s="14"/>
      <c r="C104" s="10"/>
      <c r="D104" s="57"/>
      <c r="E104" s="22"/>
      <c r="F104" s="10"/>
      <c r="G104" s="10"/>
      <c r="H104" s="224"/>
      <c r="I104" s="224"/>
      <c r="J104" s="225"/>
      <c r="K104" s="1"/>
      <c r="L104" s="1"/>
      <c r="M104" s="1"/>
      <c r="N104" s="5"/>
    </row>
    <row r="105" spans="1:14" s="6" customFormat="1" ht="15.95" customHeight="1" x14ac:dyDescent="0.25">
      <c r="A105" s="1"/>
      <c r="B105" s="14"/>
      <c r="C105" s="9" t="s">
        <v>231</v>
      </c>
      <c r="D105" s="57"/>
      <c r="E105" s="22"/>
      <c r="F105" s="10"/>
      <c r="G105" s="10"/>
      <c r="H105" s="10"/>
      <c r="I105" s="10"/>
      <c r="J105" s="11"/>
      <c r="K105" s="1"/>
      <c r="L105" s="1"/>
      <c r="M105" s="1"/>
      <c r="N105" s="5"/>
    </row>
    <row r="106" spans="1:14" s="6" customFormat="1" ht="15.95" customHeight="1" x14ac:dyDescent="0.25">
      <c r="A106" s="1"/>
      <c r="B106" s="14"/>
      <c r="C106" s="181" t="str">
        <f>'Tabel resultat'!J15</f>
        <v>Ved tilslutning (år 1)</v>
      </c>
      <c r="D106" s="36"/>
      <c r="E106" s="37">
        <f>E79+E93+E99+IF(D81="Ja",E81*12,0)+IF(D82="Ja",E82*12)</f>
        <v>18533.47241097828</v>
      </c>
      <c r="F106" s="36" t="s">
        <v>23</v>
      </c>
      <c r="G106" s="10"/>
      <c r="H106" s="224" t="str">
        <f>IF(OR($D$81="Ja",$D$82="Ja"),"Bemærk: Abonnementsbidrag og/eller område- eller tilslutningstillæg er aktiveret og indregnet.","")</f>
        <v/>
      </c>
      <c r="I106" s="224"/>
      <c r="J106" s="225"/>
      <c r="K106" s="1"/>
      <c r="L106" s="1"/>
      <c r="M106" s="1"/>
      <c r="N106" s="5"/>
    </row>
    <row r="107" spans="1:14" s="6" customFormat="1" ht="15.95" customHeight="1" x14ac:dyDescent="0.25">
      <c r="A107" s="1"/>
      <c r="B107" s="14"/>
      <c r="C107" s="181" t="e" vm="1">
        <f ca="1">"   "&amp;'Tabel resultat'!J21</f>
        <v>#NAME?</v>
      </c>
      <c r="D107" s="36"/>
      <c r="E107" s="37" t="e" vm="1">
        <f ca="1">'Tabel resultat'!I21</f>
        <v>#NAME?</v>
      </c>
      <c r="F107" s="36" t="s">
        <v>23</v>
      </c>
      <c r="G107" s="10"/>
      <c r="H107" s="224"/>
      <c r="I107" s="224"/>
      <c r="J107" s="225"/>
      <c r="K107" s="1"/>
      <c r="L107" s="1"/>
      <c r="M107" s="1"/>
      <c r="N107" s="5"/>
    </row>
    <row r="108" spans="1:14" s="6" customFormat="1" ht="15.95" customHeight="1" x14ac:dyDescent="0.25">
      <c r="A108" s="1"/>
      <c r="B108" s="14"/>
      <c r="C108" s="181" t="e" vm="1">
        <f ca="1">"   "&amp;'Tabel resultat'!J22</f>
        <v>#NAME?</v>
      </c>
      <c r="D108" s="36"/>
      <c r="E108" s="37" t="e" vm="1">
        <f ca="1">'Tabel resultat'!I22</f>
        <v>#NAME?</v>
      </c>
      <c r="F108" s="36" t="s">
        <v>23</v>
      </c>
      <c r="G108" s="10"/>
      <c r="H108" s="10"/>
      <c r="I108" s="10"/>
      <c r="J108" s="11"/>
      <c r="K108" s="1"/>
      <c r="L108" s="1"/>
      <c r="M108" s="1"/>
      <c r="N108" s="5"/>
    </row>
    <row r="109" spans="1:14" s="6" customFormat="1" ht="15.95" customHeight="1" x14ac:dyDescent="0.25">
      <c r="A109" s="1"/>
      <c r="B109" s="14"/>
      <c r="C109" s="181" t="e" vm="1">
        <f ca="1">"   "&amp;'Tabel resultat'!J23</f>
        <v>#NAME?</v>
      </c>
      <c r="D109" s="36"/>
      <c r="E109" s="37" t="e" vm="1">
        <f ca="1">'Tabel resultat'!I23</f>
        <v>#NAME?</v>
      </c>
      <c r="F109" s="36" t="s">
        <v>23</v>
      </c>
      <c r="G109" s="10"/>
      <c r="H109" s="10"/>
      <c r="I109" s="10"/>
      <c r="J109" s="11"/>
      <c r="K109" s="1"/>
      <c r="L109" s="1"/>
      <c r="M109" s="1"/>
      <c r="N109" s="5"/>
    </row>
    <row r="110" spans="1:14" ht="15.95" customHeight="1" x14ac:dyDescent="0.25">
      <c r="B110" s="14"/>
      <c r="C110" s="10"/>
      <c r="D110" s="10"/>
      <c r="E110" s="22"/>
      <c r="F110" s="10"/>
      <c r="G110" s="10"/>
      <c r="H110" s="10"/>
      <c r="I110" s="10"/>
      <c r="J110" s="11"/>
    </row>
    <row r="111" spans="1:14" ht="15.95" customHeight="1" x14ac:dyDescent="0.25">
      <c r="B111" s="14"/>
      <c r="C111" s="145" t="s">
        <v>196</v>
      </c>
      <c r="D111" s="36"/>
      <c r="E111" s="36"/>
      <c r="F111" s="36"/>
      <c r="G111" s="10"/>
      <c r="I111" s="204"/>
      <c r="J111" s="205"/>
    </row>
    <row r="112" spans="1:14" ht="15.95" customHeight="1" x14ac:dyDescent="0.25">
      <c r="B112" s="14"/>
      <c r="C112" s="181" t="str">
        <f>'Tabel resultat'!J34</f>
        <v>Ved tilslutning (år 1)</v>
      </c>
      <c r="D112" s="36"/>
      <c r="E112" s="37">
        <f>'Tabel resultat'!I34</f>
        <v>8737.0081725487034</v>
      </c>
      <c r="F112" s="36" t="s">
        <v>23</v>
      </c>
      <c r="G112" s="10"/>
      <c r="H112" s="224" t="str">
        <f>IF(OR($D$81="Ja",$D$82="Ja"),"Bemærk: Abonnementsbidrag og/eller område- eller tilslutningstillæg er aktiveret og indregnet.","")</f>
        <v/>
      </c>
      <c r="I112" s="224"/>
      <c r="J112" s="225"/>
    </row>
    <row r="113" spans="1:14" ht="15.95" customHeight="1" x14ac:dyDescent="0.25">
      <c r="B113" s="14"/>
      <c r="C113" s="181" t="e" vm="1">
        <f ca="1">"   "&amp;'Tabel resultat'!J35</f>
        <v>#NAME?</v>
      </c>
      <c r="D113" s="36"/>
      <c r="E113" s="37" t="e" vm="1">
        <f ca="1">'Tabel resultat'!I35</f>
        <v>#NAME?</v>
      </c>
      <c r="F113" s="36" t="s">
        <v>23</v>
      </c>
      <c r="G113" s="10"/>
      <c r="H113" s="224"/>
      <c r="I113" s="224"/>
      <c r="J113" s="225"/>
    </row>
    <row r="114" spans="1:14" ht="15.95" customHeight="1" x14ac:dyDescent="0.25">
      <c r="B114" s="14"/>
      <c r="C114" s="181" t="e" vm="1">
        <f ca="1">"      "&amp;'Tabel resultat'!J36</f>
        <v>#NAME?</v>
      </c>
      <c r="D114" s="36"/>
      <c r="E114" s="37" t="e" vm="1">
        <f ca="1">'Tabel resultat'!I36</f>
        <v>#NAME?</v>
      </c>
      <c r="F114" s="36" t="s">
        <v>23</v>
      </c>
      <c r="G114" s="10"/>
      <c r="H114" s="204"/>
      <c r="I114" s="204"/>
      <c r="J114" s="205"/>
    </row>
    <row r="115" spans="1:14" ht="15.95" customHeight="1" x14ac:dyDescent="0.25">
      <c r="B115" s="14"/>
      <c r="C115" s="181" t="e" vm="1">
        <f ca="1">"         "&amp;'Tabel resultat'!J37</f>
        <v>#NAME?</v>
      </c>
      <c r="D115" s="36"/>
      <c r="E115" s="37" t="e" vm="1">
        <f ca="1">'Tabel resultat'!I37</f>
        <v>#NAME?</v>
      </c>
      <c r="F115" s="36" t="s">
        <v>23</v>
      </c>
      <c r="G115" s="10"/>
      <c r="H115" s="204"/>
      <c r="I115" s="204"/>
      <c r="J115" s="205"/>
    </row>
    <row r="116" spans="1:14" ht="15.95" customHeight="1" x14ac:dyDescent="0.25">
      <c r="B116" s="14"/>
      <c r="C116" s="181" t="e" vm="1">
        <f ca="1">"            "&amp;'Tabel resultat'!J38</f>
        <v>#NAME?</v>
      </c>
      <c r="D116" s="36"/>
      <c r="E116" s="37" t="e" vm="1">
        <f ca="1">'Tabel resultat'!I38</f>
        <v>#NAME?</v>
      </c>
      <c r="F116" s="36" t="s">
        <v>23</v>
      </c>
      <c r="G116" s="10"/>
      <c r="H116" s="204"/>
      <c r="I116" s="204"/>
      <c r="J116" s="205"/>
    </row>
    <row r="117" spans="1:14" ht="15.95" customHeight="1" x14ac:dyDescent="0.25">
      <c r="B117" s="14"/>
      <c r="C117" s="10"/>
      <c r="D117" s="10"/>
      <c r="E117" s="10"/>
      <c r="F117" s="10"/>
      <c r="G117" s="10"/>
      <c r="H117" s="10"/>
      <c r="I117" s="10"/>
      <c r="J117" s="11"/>
    </row>
    <row r="118" spans="1:14" ht="15.95" customHeight="1" x14ac:dyDescent="0.25">
      <c r="B118" s="14"/>
      <c r="C118" s="145" t="s">
        <v>232</v>
      </c>
      <c r="D118" s="36"/>
      <c r="E118" s="37">
        <f>IF(AND(D81="Ja",D82="Ja"),E47-(E79+E81*12+E82*12),IF(D81="Ja",E47-(E79+E81*12),IF(D82="Ja",E47-(E79+E82*12),E47-E79)))</f>
        <v>12701.117959429384</v>
      </c>
      <c r="F118" s="36" t="s">
        <v>23</v>
      </c>
      <c r="G118" s="10"/>
      <c r="H118" s="28" t="str">
        <f>IF(OR(D81="Ja",D82="Ja"),"Bemærk: Abonnement og/eller tillæg er indregnet.","")</f>
        <v/>
      </c>
      <c r="I118" s="10"/>
      <c r="J118" s="11"/>
    </row>
    <row r="119" spans="1:14" ht="15.95" customHeight="1" x14ac:dyDescent="0.25">
      <c r="B119" s="14"/>
      <c r="C119" s="36" t="s">
        <v>224</v>
      </c>
      <c r="D119" s="36"/>
      <c r="E119" s="184">
        <f>ROUND(E118/E47*100,1)</f>
        <v>46.6</v>
      </c>
      <c r="F119" s="36" t="s">
        <v>76</v>
      </c>
      <c r="G119" s="10"/>
      <c r="H119" s="28"/>
      <c r="I119" s="10"/>
      <c r="J119" s="11"/>
    </row>
    <row r="120" spans="1:14" ht="15.95" customHeight="1" x14ac:dyDescent="0.25">
      <c r="B120" s="14"/>
      <c r="C120" s="36" t="s">
        <v>195</v>
      </c>
      <c r="D120" s="36"/>
      <c r="E120" s="155">
        <f>IF(((E91+E97)/E118)&lt;=0,"Tjent hjem fra start. 0",(E97+E91)/E118)</f>
        <v>5.1176597373260062</v>
      </c>
      <c r="F120" s="36" t="s">
        <v>27</v>
      </c>
      <c r="G120" s="10"/>
      <c r="H120" s="144" t="str">
        <f>"ift. "&amp;E97+E91&amp;" kr. (felt E91+E97)"</f>
        <v>ift. 65000 kr. (felt E91+E97)</v>
      </c>
      <c r="I120" s="10"/>
      <c r="J120" s="11"/>
    </row>
    <row r="121" spans="1:14" s="6" customFormat="1" ht="15.95" customHeight="1" thickBot="1" x14ac:dyDescent="0.3">
      <c r="A121" s="1"/>
      <c r="B121" s="38"/>
      <c r="C121" s="165" t="s">
        <v>286</v>
      </c>
      <c r="D121" s="166"/>
      <c r="E121" s="185">
        <f>IF(((E91+E97-E51)/E118)&lt;0,"Tjent hjem fra start. 0",(E91+E97-E51)/E118)</f>
        <v>3.1493290691236959</v>
      </c>
      <c r="F121" s="167" t="s">
        <v>27</v>
      </c>
      <c r="G121" s="39"/>
      <c r="H121" s="168" t="str">
        <f>"ift. "&amp;E91+E97&amp;" kr. (felt E91+E97) minus "&amp;E51&amp;" kr. (felt E51)"</f>
        <v>ift. 65000 kr. (felt E91+E97) minus 25000 kr. (felt E51)</v>
      </c>
      <c r="I121" s="39"/>
      <c r="J121" s="41"/>
      <c r="K121" s="1"/>
      <c r="L121" s="1"/>
      <c r="M121" s="1"/>
      <c r="N121" s="5"/>
    </row>
    <row r="122" spans="1:14" s="27" customFormat="1" ht="15.95" customHeight="1" thickBot="1" x14ac:dyDescent="0.3">
      <c r="A122" s="10"/>
      <c r="B122" s="10"/>
      <c r="C122" s="10"/>
      <c r="D122" s="10"/>
      <c r="E122" s="22"/>
      <c r="F122" s="10"/>
      <c r="G122" s="10"/>
      <c r="H122" s="10"/>
      <c r="I122" s="10"/>
      <c r="J122" s="10"/>
      <c r="K122" s="10"/>
      <c r="L122" s="10"/>
      <c r="M122" s="10"/>
      <c r="N122" s="84"/>
    </row>
    <row r="123" spans="1:14" s="6" customFormat="1" ht="37.5" customHeight="1" x14ac:dyDescent="0.25">
      <c r="A123" s="1"/>
      <c r="B123" s="2"/>
      <c r="C123" s="3"/>
      <c r="D123" s="3"/>
      <c r="E123" s="3"/>
      <c r="F123" s="3"/>
      <c r="G123" s="3"/>
      <c r="H123" s="3"/>
      <c r="I123" s="3"/>
      <c r="J123" s="4"/>
      <c r="K123" s="1"/>
      <c r="L123" s="1"/>
      <c r="M123" s="1"/>
      <c r="N123" s="5"/>
    </row>
    <row r="124" spans="1:14" s="6" customFormat="1" ht="38.25" customHeight="1" thickBot="1" x14ac:dyDescent="0.3">
      <c r="A124" s="1"/>
      <c r="B124" s="38"/>
      <c r="C124" s="129"/>
      <c r="D124" s="129"/>
      <c r="E124" s="129"/>
      <c r="F124" s="129"/>
      <c r="G124" s="129"/>
      <c r="H124" s="129"/>
      <c r="I124" s="129"/>
      <c r="J124" s="41"/>
      <c r="K124" s="1"/>
      <c r="L124" s="1"/>
      <c r="M124" s="1"/>
      <c r="N124" s="5"/>
    </row>
    <row r="125" spans="1:14" s="6" customFormat="1" ht="18" customHeight="1" x14ac:dyDescent="0.25">
      <c r="A125" s="1"/>
      <c r="B125" s="14"/>
      <c r="C125" s="56"/>
      <c r="D125" s="56"/>
      <c r="E125" s="56"/>
      <c r="F125" s="56"/>
      <c r="G125" s="56"/>
      <c r="H125" s="56"/>
      <c r="I125" s="56"/>
      <c r="J125" s="11"/>
      <c r="K125" s="1"/>
      <c r="L125" s="1"/>
      <c r="M125" s="1"/>
      <c r="N125" s="5"/>
    </row>
    <row r="126" spans="1:14" s="6" customFormat="1" ht="15.95" customHeight="1" x14ac:dyDescent="0.25">
      <c r="A126" s="1"/>
      <c r="B126" s="14"/>
      <c r="C126" s="47" t="s">
        <v>74</v>
      </c>
      <c r="D126" s="9"/>
      <c r="E126" s="22"/>
      <c r="F126" s="10"/>
      <c r="G126" s="10"/>
      <c r="H126" s="13"/>
      <c r="I126" s="10"/>
      <c r="J126" s="11"/>
      <c r="K126" s="1"/>
      <c r="L126" s="1"/>
      <c r="M126" s="1"/>
      <c r="N126" s="5"/>
    </row>
    <row r="127" spans="1:14" s="6" customFormat="1" ht="15.95" customHeight="1" x14ac:dyDescent="0.25">
      <c r="A127" s="1"/>
      <c r="B127" s="14"/>
      <c r="C127" s="215" t="s">
        <v>57</v>
      </c>
      <c r="D127" s="215"/>
      <c r="E127" s="215"/>
      <c r="F127" s="215"/>
      <c r="G127" s="215"/>
      <c r="H127" s="215"/>
      <c r="I127" s="215"/>
      <c r="J127" s="218"/>
      <c r="K127" s="74"/>
      <c r="L127" s="1"/>
      <c r="M127" s="1"/>
      <c r="N127" s="5"/>
    </row>
    <row r="128" spans="1:14" s="6" customFormat="1" ht="15.95" customHeight="1" x14ac:dyDescent="0.25">
      <c r="A128" s="1"/>
      <c r="B128" s="14"/>
      <c r="C128" s="75" t="s">
        <v>61</v>
      </c>
      <c r="D128" s="20"/>
      <c r="E128" s="26"/>
      <c r="F128" s="20"/>
      <c r="G128" s="10"/>
      <c r="H128" s="13"/>
      <c r="I128" s="10"/>
      <c r="J128" s="11"/>
      <c r="K128" s="1"/>
      <c r="L128" s="1"/>
      <c r="M128" s="1"/>
      <c r="N128" s="5"/>
    </row>
    <row r="129" spans="1:14" s="6" customFormat="1" ht="15.95" customHeight="1" x14ac:dyDescent="0.25">
      <c r="A129" s="1"/>
      <c r="B129" s="14"/>
      <c r="C129" s="93" t="s">
        <v>92</v>
      </c>
      <c r="D129" s="89"/>
      <c r="E129" s="94"/>
      <c r="F129" s="89"/>
      <c r="G129" s="10"/>
      <c r="H129" s="13"/>
      <c r="I129" s="10"/>
      <c r="J129" s="11"/>
      <c r="K129" s="1"/>
      <c r="L129" s="1"/>
      <c r="M129" s="1"/>
      <c r="N129" s="5"/>
    </row>
    <row r="130" spans="1:14" s="6" customFormat="1" ht="15.95" customHeight="1" x14ac:dyDescent="0.25">
      <c r="A130" s="1"/>
      <c r="B130" s="16"/>
      <c r="C130" s="60"/>
      <c r="D130" s="17"/>
      <c r="E130" s="25"/>
      <c r="F130" s="17"/>
      <c r="G130" s="17"/>
      <c r="H130" s="18"/>
      <c r="I130" s="17"/>
      <c r="J130" s="7"/>
      <c r="K130" s="1"/>
      <c r="L130" s="1"/>
      <c r="M130" s="1"/>
      <c r="N130" s="5"/>
    </row>
    <row r="131" spans="1:14" s="6" customFormat="1" ht="15.95" customHeight="1" x14ac:dyDescent="0.25">
      <c r="A131" s="1"/>
      <c r="B131" s="14"/>
      <c r="C131" s="10"/>
      <c r="D131" s="10"/>
      <c r="E131" s="22"/>
      <c r="F131" s="10"/>
      <c r="G131" s="10"/>
      <c r="H131" s="13"/>
      <c r="I131" s="10"/>
      <c r="J131" s="11"/>
      <c r="K131" s="1"/>
      <c r="L131" s="1"/>
      <c r="M131" s="1"/>
      <c r="N131" s="5"/>
    </row>
    <row r="132" spans="1:14" s="6" customFormat="1" ht="15.95" customHeight="1" x14ac:dyDescent="0.25">
      <c r="A132" s="1"/>
      <c r="B132" s="14"/>
      <c r="C132" s="47" t="s">
        <v>60</v>
      </c>
      <c r="D132" s="9"/>
      <c r="E132" s="22"/>
      <c r="F132" s="10"/>
      <c r="G132" s="10"/>
      <c r="H132" s="13"/>
      <c r="I132" s="10"/>
      <c r="J132" s="11"/>
      <c r="K132" s="1"/>
      <c r="L132" s="1"/>
      <c r="M132" s="1"/>
      <c r="N132" s="5"/>
    </row>
    <row r="133" spans="1:14" s="6" customFormat="1" ht="15.95" customHeight="1" x14ac:dyDescent="0.25">
      <c r="A133" s="1"/>
      <c r="B133" s="14"/>
      <c r="C133" s="10" t="s">
        <v>199</v>
      </c>
      <c r="D133" s="9"/>
      <c r="E133" s="91" t="s">
        <v>18</v>
      </c>
      <c r="F133" s="24" t="s">
        <v>59</v>
      </c>
      <c r="G133" s="10"/>
      <c r="H133" s="13"/>
      <c r="I133" s="10"/>
      <c r="J133" s="11"/>
      <c r="K133" s="1"/>
      <c r="L133" s="1"/>
      <c r="M133" s="1"/>
      <c r="N133" s="5"/>
    </row>
    <row r="134" spans="1:14" s="6" customFormat="1" ht="15.95" customHeight="1" x14ac:dyDescent="0.25">
      <c r="A134" s="1"/>
      <c r="B134" s="14"/>
      <c r="C134" s="10"/>
      <c r="D134" s="9"/>
      <c r="E134" s="29"/>
      <c r="F134" s="24"/>
      <c r="G134" s="10"/>
      <c r="H134" s="13"/>
      <c r="I134" s="10"/>
      <c r="J134" s="11"/>
      <c r="K134" s="1"/>
      <c r="L134" s="1"/>
      <c r="M134" s="1"/>
      <c r="N134" s="5"/>
    </row>
    <row r="135" spans="1:14" ht="15.95" customHeight="1" x14ac:dyDescent="0.25">
      <c r="B135" s="14"/>
      <c r="C135" s="10" t="s">
        <v>50</v>
      </c>
      <c r="D135" s="10"/>
      <c r="E135" s="42">
        <v>3</v>
      </c>
      <c r="F135" s="10" t="s">
        <v>49</v>
      </c>
      <c r="G135" s="10"/>
      <c r="H135" s="23" t="s">
        <v>102</v>
      </c>
      <c r="I135" s="10"/>
      <c r="J135" s="11"/>
    </row>
    <row r="136" spans="1:14" ht="15.95" customHeight="1" x14ac:dyDescent="0.25">
      <c r="B136" s="14"/>
      <c r="C136" s="10" t="s">
        <v>54</v>
      </c>
      <c r="D136" s="10"/>
      <c r="E136" s="22">
        <f>IFERROR(E38/E135,"")</f>
        <v>5601.0347911653325</v>
      </c>
      <c r="F136" s="10" t="s">
        <v>22</v>
      </c>
      <c r="G136" s="10"/>
      <c r="H136" s="10"/>
      <c r="I136" s="10"/>
      <c r="J136" s="11"/>
    </row>
    <row r="137" spans="1:14" ht="15.95" customHeight="1" x14ac:dyDescent="0.25">
      <c r="B137" s="14"/>
      <c r="C137" s="10" t="s">
        <v>52</v>
      </c>
      <c r="D137" s="10"/>
      <c r="E137" s="44">
        <v>1.1000000000000001</v>
      </c>
      <c r="F137" s="10" t="s">
        <v>51</v>
      </c>
      <c r="G137" s="10"/>
      <c r="H137" s="23" t="s">
        <v>53</v>
      </c>
      <c r="I137" s="10"/>
      <c r="J137" s="11"/>
    </row>
    <row r="138" spans="1:14" ht="15.95" customHeight="1" x14ac:dyDescent="0.25">
      <c r="B138" s="14"/>
      <c r="C138" s="10"/>
      <c r="D138" s="10"/>
      <c r="E138" s="85"/>
      <c r="F138" s="10"/>
      <c r="G138" s="10"/>
      <c r="H138" s="23" t="s">
        <v>91</v>
      </c>
      <c r="I138" s="10"/>
      <c r="J138" s="11"/>
    </row>
    <row r="139" spans="1:14" ht="15.95" customHeight="1" x14ac:dyDescent="0.25">
      <c r="B139" s="14"/>
      <c r="C139" s="9" t="s">
        <v>85</v>
      </c>
      <c r="D139" s="10"/>
      <c r="E139" s="85"/>
      <c r="F139" s="10"/>
      <c r="G139" s="10"/>
      <c r="H139" s="23"/>
      <c r="I139" s="10"/>
      <c r="J139" s="11"/>
    </row>
    <row r="140" spans="1:14" ht="15.95" customHeight="1" x14ac:dyDescent="0.25">
      <c r="B140" s="14"/>
      <c r="C140" s="10" t="s">
        <v>84</v>
      </c>
      <c r="D140" s="10"/>
      <c r="E140" s="22">
        <f>IFERROR(E137*E136,"")</f>
        <v>6161.1382702818664</v>
      </c>
      <c r="F140" s="10" t="s">
        <v>23</v>
      </c>
      <c r="G140" s="10"/>
      <c r="H140" s="10"/>
      <c r="I140" s="10"/>
      <c r="J140" s="11"/>
    </row>
    <row r="141" spans="1:14" ht="15.95" customHeight="1" x14ac:dyDescent="0.25">
      <c r="B141" s="14"/>
      <c r="C141" s="10" t="s">
        <v>25</v>
      </c>
      <c r="D141" s="10"/>
      <c r="E141" s="26">
        <v>700</v>
      </c>
      <c r="F141" s="10" t="s">
        <v>4</v>
      </c>
      <c r="G141" s="10"/>
      <c r="H141" s="10"/>
      <c r="I141" s="10"/>
      <c r="J141" s="11"/>
    </row>
    <row r="142" spans="1:14" ht="15.95" customHeight="1" x14ac:dyDescent="0.25">
      <c r="B142" s="14"/>
      <c r="C142" s="10" t="s">
        <v>26</v>
      </c>
      <c r="D142" s="10"/>
      <c r="E142" s="26">
        <v>2250</v>
      </c>
      <c r="F142" s="10" t="s">
        <v>4</v>
      </c>
      <c r="G142" s="10"/>
      <c r="H142" s="23" t="s">
        <v>63</v>
      </c>
      <c r="I142" s="10"/>
      <c r="J142" s="11"/>
    </row>
    <row r="143" spans="1:14" ht="15.95" customHeight="1" x14ac:dyDescent="0.25">
      <c r="B143" s="14"/>
      <c r="C143" s="36" t="s">
        <v>29</v>
      </c>
      <c r="D143" s="36"/>
      <c r="E143" s="37">
        <f>SUM(E140:E142)</f>
        <v>9111.1382702818664</v>
      </c>
      <c r="F143" s="36" t="s">
        <v>23</v>
      </c>
      <c r="G143" s="10"/>
      <c r="H143" s="10"/>
      <c r="I143" s="10"/>
      <c r="J143" s="11"/>
    </row>
    <row r="144" spans="1:14" ht="15.95" customHeight="1" x14ac:dyDescent="0.25">
      <c r="B144" s="14"/>
      <c r="C144" s="10"/>
      <c r="D144" s="10"/>
      <c r="E144" s="22"/>
      <c r="F144" s="10"/>
      <c r="G144" s="10"/>
      <c r="H144" s="10"/>
      <c r="I144" s="10"/>
      <c r="J144" s="11"/>
    </row>
    <row r="145" spans="1:11" ht="15.95" customHeight="1" x14ac:dyDescent="0.25">
      <c r="B145" s="14"/>
      <c r="C145" s="9" t="s">
        <v>30</v>
      </c>
      <c r="D145" s="10"/>
      <c r="E145" s="26">
        <v>120000</v>
      </c>
      <c r="F145" s="10" t="s">
        <v>2</v>
      </c>
      <c r="G145" s="10"/>
      <c r="H145" s="28" t="s">
        <v>198</v>
      </c>
      <c r="I145" s="10"/>
      <c r="J145" s="11"/>
    </row>
    <row r="146" spans="1:11" ht="15.95" customHeight="1" x14ac:dyDescent="0.25">
      <c r="B146" s="14"/>
      <c r="C146" s="10" t="s">
        <v>164</v>
      </c>
      <c r="D146" s="10"/>
      <c r="E146" s="26">
        <v>0</v>
      </c>
      <c r="F146" s="10" t="s">
        <v>2</v>
      </c>
      <c r="G146" s="10"/>
      <c r="H146" s="28" t="s">
        <v>102</v>
      </c>
      <c r="I146" s="10"/>
      <c r="J146" s="11"/>
    </row>
    <row r="147" spans="1:11" ht="15.95" customHeight="1" x14ac:dyDescent="0.25">
      <c r="B147" s="14"/>
      <c r="C147" s="10" t="s">
        <v>37</v>
      </c>
      <c r="D147" s="10"/>
      <c r="E147" s="26">
        <v>15</v>
      </c>
      <c r="F147" s="10" t="s">
        <v>27</v>
      </c>
      <c r="G147" s="10"/>
      <c r="H147" s="80"/>
      <c r="I147" s="10"/>
      <c r="J147" s="11"/>
    </row>
    <row r="148" spans="1:11" ht="15.95" customHeight="1" x14ac:dyDescent="0.25">
      <c r="B148" s="14"/>
      <c r="C148" s="10" t="s">
        <v>44</v>
      </c>
      <c r="D148" s="59">
        <v>0.03</v>
      </c>
      <c r="E148" s="22">
        <f>IFERROR(-PMT(D148,E147,(E145+E146)),"")</f>
        <v>10051.989655474565</v>
      </c>
      <c r="F148" s="10" t="s">
        <v>4</v>
      </c>
      <c r="G148" s="10"/>
      <c r="H148" s="58"/>
      <c r="I148" s="10"/>
      <c r="J148" s="11"/>
    </row>
    <row r="149" spans="1:11" ht="15.95" customHeight="1" x14ac:dyDescent="0.25">
      <c r="B149" s="14"/>
      <c r="C149" s="36" t="s">
        <v>45</v>
      </c>
      <c r="D149" s="36"/>
      <c r="E149" s="37">
        <f>IFERROR(E143+E148,"")</f>
        <v>19163.127925756431</v>
      </c>
      <c r="F149" s="36" t="s">
        <v>23</v>
      </c>
      <c r="G149" s="10"/>
      <c r="H149" s="10"/>
      <c r="I149" s="10"/>
      <c r="J149" s="11"/>
    </row>
    <row r="150" spans="1:11" ht="15.95" customHeight="1" x14ac:dyDescent="0.25">
      <c r="B150" s="14"/>
      <c r="C150" s="10"/>
      <c r="D150" s="10"/>
      <c r="E150" s="22"/>
      <c r="F150" s="10"/>
      <c r="G150" s="10"/>
      <c r="H150" s="10"/>
      <c r="I150" s="10"/>
      <c r="J150" s="11"/>
    </row>
    <row r="151" spans="1:11" ht="15.95" customHeight="1" x14ac:dyDescent="0.25">
      <c r="B151" s="14"/>
      <c r="C151" s="9" t="s">
        <v>62</v>
      </c>
      <c r="D151" s="10"/>
      <c r="E151" s="26">
        <v>50000</v>
      </c>
      <c r="F151" s="10" t="s">
        <v>2</v>
      </c>
      <c r="G151" s="10"/>
      <c r="H151" s="125"/>
      <c r="I151" s="125"/>
      <c r="J151" s="126"/>
    </row>
    <row r="152" spans="1:11" ht="15.95" customHeight="1" x14ac:dyDescent="0.25">
      <c r="B152" s="14"/>
      <c r="C152" s="10" t="s">
        <v>37</v>
      </c>
      <c r="D152" s="10"/>
      <c r="E152" s="26">
        <v>8</v>
      </c>
      <c r="F152" s="10" t="s">
        <v>27</v>
      </c>
      <c r="G152" s="10"/>
      <c r="H152" s="220" t="s">
        <v>234</v>
      </c>
      <c r="I152" s="220"/>
      <c r="J152" s="221"/>
    </row>
    <row r="153" spans="1:11" ht="15.95" customHeight="1" x14ac:dyDescent="0.25">
      <c r="B153" s="14"/>
      <c r="C153" s="10" t="s">
        <v>44</v>
      </c>
      <c r="D153" s="59">
        <v>0.03</v>
      </c>
      <c r="E153" s="22">
        <f>IFERROR(-PMT(D153,E152,E151),"")</f>
        <v>7122.8194413619585</v>
      </c>
      <c r="F153" s="10" t="s">
        <v>4</v>
      </c>
      <c r="G153" s="10"/>
      <c r="H153" s="220"/>
      <c r="I153" s="220"/>
      <c r="J153" s="221"/>
    </row>
    <row r="154" spans="1:11" ht="15.95" customHeight="1" x14ac:dyDescent="0.25">
      <c r="B154" s="14"/>
      <c r="C154" s="36" t="s">
        <v>165</v>
      </c>
      <c r="D154" s="36"/>
      <c r="E154" s="37">
        <f>IFERROR(E143+E153,"")</f>
        <v>16233.957711643825</v>
      </c>
      <c r="F154" s="36" t="s">
        <v>23</v>
      </c>
      <c r="G154" s="10"/>
      <c r="H154" s="10"/>
      <c r="I154" s="10"/>
      <c r="J154" s="11"/>
    </row>
    <row r="155" spans="1:11" ht="15.95" customHeight="1" thickBot="1" x14ac:dyDescent="0.3">
      <c r="B155" s="38"/>
      <c r="C155" s="39"/>
      <c r="D155" s="39"/>
      <c r="E155" s="39"/>
      <c r="F155" s="39"/>
      <c r="G155" s="39"/>
      <c r="H155" s="39"/>
      <c r="I155" s="39"/>
      <c r="J155" s="41"/>
    </row>
    <row r="156" spans="1:11" ht="15.95" customHeight="1" x14ac:dyDescent="0.25">
      <c r="A156" s="10"/>
      <c r="B156" s="14"/>
      <c r="C156" s="10"/>
      <c r="D156" s="10"/>
      <c r="E156" s="22"/>
      <c r="F156" s="10"/>
      <c r="G156" s="10"/>
      <c r="H156" s="13"/>
      <c r="I156" s="10"/>
      <c r="J156" s="11"/>
      <c r="K156" s="10"/>
    </row>
    <row r="157" spans="1:11" ht="15.95" customHeight="1" x14ac:dyDescent="0.25">
      <c r="A157" s="10"/>
      <c r="B157" s="14"/>
      <c r="C157" s="47" t="s">
        <v>77</v>
      </c>
      <c r="D157" s="9"/>
      <c r="E157" s="22"/>
      <c r="F157" s="10"/>
      <c r="G157" s="10"/>
      <c r="H157" s="13"/>
      <c r="I157" s="10"/>
      <c r="J157" s="11"/>
      <c r="K157" s="10"/>
    </row>
    <row r="158" spans="1:11" ht="15.95" customHeight="1" x14ac:dyDescent="0.25">
      <c r="A158" s="10"/>
      <c r="B158" s="14"/>
      <c r="C158" s="10" t="s">
        <v>199</v>
      </c>
      <c r="D158" s="9"/>
      <c r="E158" s="91" t="s">
        <v>19</v>
      </c>
      <c r="F158" s="24" t="s">
        <v>59</v>
      </c>
      <c r="G158" s="10"/>
      <c r="H158" s="13"/>
      <c r="I158" s="10"/>
      <c r="J158" s="11"/>
      <c r="K158" s="10"/>
    </row>
    <row r="159" spans="1:11" ht="15.95" customHeight="1" x14ac:dyDescent="0.25">
      <c r="A159" s="10"/>
      <c r="B159" s="14"/>
      <c r="C159" s="10"/>
      <c r="D159" s="9"/>
      <c r="E159" s="29"/>
      <c r="F159" s="24"/>
      <c r="G159" s="10"/>
      <c r="H159" s="13"/>
      <c r="I159" s="10"/>
      <c r="J159" s="11"/>
      <c r="K159" s="10"/>
    </row>
    <row r="160" spans="1:11" ht="15.95" customHeight="1" x14ac:dyDescent="0.25">
      <c r="A160" s="10"/>
      <c r="B160" s="14"/>
      <c r="C160" s="10" t="s">
        <v>75</v>
      </c>
      <c r="D160" s="10"/>
      <c r="E160" s="42">
        <v>85</v>
      </c>
      <c r="F160" s="10" t="s">
        <v>76</v>
      </c>
      <c r="G160" s="10"/>
      <c r="H160" s="23"/>
      <c r="I160" s="10"/>
      <c r="J160" s="11"/>
      <c r="K160" s="10"/>
    </row>
    <row r="161" spans="1:11" ht="15.95" customHeight="1" x14ac:dyDescent="0.25">
      <c r="A161" s="10"/>
      <c r="B161" s="14"/>
      <c r="C161" s="10" t="s">
        <v>78</v>
      </c>
      <c r="D161" s="10"/>
      <c r="E161" s="22">
        <f>IFERROR(E38/(E160/100),"")</f>
        <v>19768.35808646588</v>
      </c>
      <c r="F161" s="10" t="s">
        <v>22</v>
      </c>
      <c r="G161" s="10"/>
      <c r="H161" s="10"/>
      <c r="I161" s="10"/>
      <c r="J161" s="11"/>
      <c r="K161" s="10"/>
    </row>
    <row r="162" spans="1:11" ht="15.95" customHeight="1" x14ac:dyDescent="0.25">
      <c r="A162" s="10"/>
      <c r="B162" s="14"/>
      <c r="C162" s="10"/>
      <c r="D162" s="10"/>
      <c r="E162" s="22">
        <f>E161/4.86</f>
        <v>4067.5633922769298</v>
      </c>
      <c r="F162" s="10" t="s">
        <v>81</v>
      </c>
      <c r="G162" s="10"/>
      <c r="H162" s="10"/>
      <c r="I162" s="10"/>
      <c r="J162" s="11"/>
      <c r="K162" s="10"/>
    </row>
    <row r="163" spans="1:11" ht="15.95" customHeight="1" x14ac:dyDescent="0.25">
      <c r="B163" s="14"/>
      <c r="C163" s="10" t="s">
        <v>79</v>
      </c>
      <c r="D163" s="10"/>
      <c r="E163" s="44">
        <v>2.2000000000000002</v>
      </c>
      <c r="F163" s="10" t="s">
        <v>80</v>
      </c>
      <c r="G163" s="10"/>
      <c r="H163" s="23"/>
      <c r="I163" s="10"/>
      <c r="J163" s="11"/>
    </row>
    <row r="164" spans="1:11" ht="15.95" customHeight="1" x14ac:dyDescent="0.25">
      <c r="B164" s="14"/>
      <c r="C164" s="10"/>
      <c r="D164" s="10"/>
      <c r="E164" s="85"/>
      <c r="F164" s="10"/>
      <c r="G164" s="10"/>
      <c r="H164" s="23"/>
      <c r="I164" s="10"/>
      <c r="J164" s="11"/>
    </row>
    <row r="165" spans="1:11" ht="15.95" customHeight="1" x14ac:dyDescent="0.25">
      <c r="B165" s="14"/>
      <c r="C165" s="9" t="s">
        <v>86</v>
      </c>
      <c r="D165" s="10"/>
      <c r="E165" s="85"/>
      <c r="F165" s="10"/>
      <c r="G165" s="10"/>
      <c r="H165" s="23"/>
      <c r="I165" s="10"/>
      <c r="J165" s="11"/>
    </row>
    <row r="166" spans="1:11" ht="15.95" customHeight="1" x14ac:dyDescent="0.25">
      <c r="B166" s="14"/>
      <c r="C166" s="10" t="s">
        <v>71</v>
      </c>
      <c r="D166" s="10"/>
      <c r="E166" s="22">
        <f>IFERROR(E163*E162,"")</f>
        <v>8948.6394630092454</v>
      </c>
      <c r="F166" s="10" t="s">
        <v>23</v>
      </c>
      <c r="G166" s="10"/>
      <c r="H166" s="10"/>
      <c r="I166" s="10"/>
      <c r="J166" s="11"/>
    </row>
    <row r="167" spans="1:11" ht="15.95" customHeight="1" x14ac:dyDescent="0.25">
      <c r="B167" s="14"/>
      <c r="C167" s="10" t="s">
        <v>25</v>
      </c>
      <c r="D167" s="10"/>
      <c r="E167" s="26">
        <v>500</v>
      </c>
      <c r="F167" s="10" t="s">
        <v>4</v>
      </c>
      <c r="G167" s="10"/>
      <c r="H167" s="10"/>
      <c r="I167" s="10"/>
      <c r="J167" s="11"/>
    </row>
    <row r="168" spans="1:11" ht="15.95" customHeight="1" x14ac:dyDescent="0.25">
      <c r="B168" s="14"/>
      <c r="C168" s="10" t="s">
        <v>83</v>
      </c>
      <c r="D168" s="10"/>
      <c r="E168" s="26">
        <v>1500</v>
      </c>
      <c r="F168" s="10" t="s">
        <v>4</v>
      </c>
      <c r="G168" s="10"/>
      <c r="H168" s="23"/>
      <c r="I168" s="10"/>
      <c r="J168" s="11"/>
    </row>
    <row r="169" spans="1:11" ht="15.95" customHeight="1" x14ac:dyDescent="0.25">
      <c r="B169" s="14"/>
      <c r="C169" s="10" t="s">
        <v>82</v>
      </c>
      <c r="D169" s="10"/>
      <c r="E169" s="26"/>
      <c r="F169" s="10" t="s">
        <v>4</v>
      </c>
      <c r="G169" s="10"/>
      <c r="H169" s="23"/>
      <c r="I169" s="10"/>
      <c r="J169" s="11"/>
    </row>
    <row r="170" spans="1:11" ht="15.95" customHeight="1" x14ac:dyDescent="0.25">
      <c r="B170" s="14"/>
      <c r="C170" s="36" t="s">
        <v>29</v>
      </c>
      <c r="D170" s="36"/>
      <c r="E170" s="37">
        <f>SUM(E166:E169)</f>
        <v>10948.639463009245</v>
      </c>
      <c r="F170" s="36" t="s">
        <v>23</v>
      </c>
      <c r="G170" s="10"/>
      <c r="H170" s="10"/>
      <c r="I170" s="10"/>
      <c r="J170" s="11"/>
    </row>
    <row r="171" spans="1:11" ht="15.95" customHeight="1" x14ac:dyDescent="0.25">
      <c r="B171" s="14"/>
      <c r="C171" s="10"/>
      <c r="D171" s="10"/>
      <c r="E171" s="22"/>
      <c r="F171" s="10"/>
      <c r="G171" s="10"/>
      <c r="H171" s="10"/>
      <c r="I171" s="10"/>
      <c r="J171" s="11"/>
    </row>
    <row r="172" spans="1:11" ht="15.95" customHeight="1" x14ac:dyDescent="0.25">
      <c r="B172" s="14"/>
      <c r="C172" s="9" t="s">
        <v>30</v>
      </c>
      <c r="D172" s="10"/>
      <c r="E172" s="26">
        <v>70000</v>
      </c>
      <c r="F172" s="10" t="s">
        <v>2</v>
      </c>
      <c r="G172" s="10"/>
      <c r="H172" s="28" t="s">
        <v>198</v>
      </c>
      <c r="I172" s="10"/>
      <c r="J172" s="11"/>
    </row>
    <row r="173" spans="1:11" ht="15.95" customHeight="1" x14ac:dyDescent="0.25">
      <c r="B173" s="14"/>
      <c r="C173" s="10" t="s">
        <v>31</v>
      </c>
      <c r="D173" s="10"/>
      <c r="E173" s="26">
        <v>0</v>
      </c>
      <c r="F173" s="10" t="s">
        <v>2</v>
      </c>
      <c r="G173" s="10"/>
      <c r="H173" s="10"/>
      <c r="I173" s="10"/>
      <c r="J173" s="11"/>
    </row>
    <row r="174" spans="1:11" ht="15.95" customHeight="1" x14ac:dyDescent="0.25">
      <c r="B174" s="14"/>
      <c r="C174" s="10" t="s">
        <v>37</v>
      </c>
      <c r="D174" s="10"/>
      <c r="E174" s="26">
        <v>15</v>
      </c>
      <c r="F174" s="10" t="s">
        <v>27</v>
      </c>
      <c r="G174" s="10"/>
      <c r="H174" s="80"/>
      <c r="I174" s="10"/>
      <c r="J174" s="11"/>
    </row>
    <row r="175" spans="1:11" ht="15.95" customHeight="1" x14ac:dyDescent="0.25">
      <c r="B175" s="14"/>
      <c r="C175" s="10" t="s">
        <v>44</v>
      </c>
      <c r="D175" s="59">
        <v>0.03</v>
      </c>
      <c r="E175" s="22">
        <f>IFERROR(-PMT(D175,E174,(E172+E173)),"")</f>
        <v>5863.6606323601618</v>
      </c>
      <c r="F175" s="10" t="s">
        <v>4</v>
      </c>
      <c r="G175" s="10"/>
      <c r="H175" s="58"/>
      <c r="I175" s="10"/>
      <c r="J175" s="11"/>
    </row>
    <row r="176" spans="1:11" ht="15.95" customHeight="1" x14ac:dyDescent="0.25">
      <c r="B176" s="14"/>
      <c r="C176" s="36" t="s">
        <v>45</v>
      </c>
      <c r="D176" s="36"/>
      <c r="E176" s="37">
        <f>IFERROR(E170+E175,"")</f>
        <v>16812.300095369406</v>
      </c>
      <c r="F176" s="36" t="s">
        <v>23</v>
      </c>
      <c r="G176" s="10"/>
      <c r="H176" s="10"/>
      <c r="I176" s="10"/>
      <c r="J176" s="11"/>
    </row>
    <row r="177" spans="2:10" ht="15.95" customHeight="1" x14ac:dyDescent="0.25">
      <c r="B177" s="14"/>
      <c r="C177" s="10"/>
      <c r="D177" s="10"/>
      <c r="E177" s="22"/>
      <c r="F177" s="10"/>
      <c r="G177" s="10"/>
      <c r="H177" s="10"/>
      <c r="I177" s="10"/>
      <c r="J177" s="11"/>
    </row>
    <row r="178" spans="2:10" ht="15.95" customHeight="1" x14ac:dyDescent="0.25">
      <c r="B178" s="14"/>
      <c r="C178" s="9" t="s">
        <v>62</v>
      </c>
      <c r="D178" s="10"/>
      <c r="E178" s="26">
        <v>35000</v>
      </c>
      <c r="F178" s="10" t="s">
        <v>2</v>
      </c>
      <c r="G178" s="10"/>
      <c r="H178" s="125"/>
      <c r="I178" s="125"/>
      <c r="J178" s="126"/>
    </row>
    <row r="179" spans="2:10" ht="15.95" customHeight="1" x14ac:dyDescent="0.25">
      <c r="B179" s="14"/>
      <c r="C179" s="10" t="s">
        <v>37</v>
      </c>
      <c r="D179" s="10"/>
      <c r="E179" s="26">
        <v>7</v>
      </c>
      <c r="F179" s="10" t="s">
        <v>27</v>
      </c>
      <c r="G179" s="10"/>
      <c r="H179" s="220" t="s">
        <v>235</v>
      </c>
      <c r="I179" s="220"/>
      <c r="J179" s="221"/>
    </row>
    <row r="180" spans="2:10" ht="15.95" customHeight="1" x14ac:dyDescent="0.25">
      <c r="B180" s="14"/>
      <c r="C180" s="10" t="s">
        <v>44</v>
      </c>
      <c r="D180" s="59">
        <v>0.03</v>
      </c>
      <c r="E180" s="22">
        <f>IFERROR(-PMT(D180,E179,E178),"")</f>
        <v>5617.7223813995188</v>
      </c>
      <c r="F180" s="10" t="s">
        <v>4</v>
      </c>
      <c r="G180" s="10"/>
      <c r="H180" s="220"/>
      <c r="I180" s="220"/>
      <c r="J180" s="221"/>
    </row>
    <row r="181" spans="2:10" ht="15.95" customHeight="1" x14ac:dyDescent="0.25">
      <c r="B181" s="14"/>
      <c r="C181" s="36" t="s">
        <v>165</v>
      </c>
      <c r="D181" s="36"/>
      <c r="E181" s="37">
        <f>IFERROR(E170+E180,"")</f>
        <v>16566.361844408762</v>
      </c>
      <c r="F181" s="36" t="s">
        <v>23</v>
      </c>
      <c r="G181" s="10"/>
      <c r="H181" s="10"/>
      <c r="I181" s="10"/>
      <c r="J181" s="11"/>
    </row>
    <row r="182" spans="2:10" ht="15.95" customHeight="1" thickBot="1" x14ac:dyDescent="0.3">
      <c r="B182" s="38"/>
      <c r="C182" s="39"/>
      <c r="D182" s="39"/>
      <c r="E182" s="39"/>
      <c r="F182" s="39"/>
      <c r="G182" s="39"/>
      <c r="H182" s="39"/>
      <c r="I182" s="39"/>
      <c r="J182" s="41"/>
    </row>
    <row r="183" spans="2:10" x14ac:dyDescent="0.25">
      <c r="C183" s="10"/>
      <c r="D183" s="10"/>
      <c r="E183" s="10"/>
      <c r="F183" s="10"/>
      <c r="G183" s="10"/>
      <c r="H183" s="10"/>
      <c r="I183" s="10"/>
    </row>
    <row r="184" spans="2:10" x14ac:dyDescent="0.25">
      <c r="C184" s="10"/>
      <c r="D184" s="10"/>
      <c r="E184" s="10"/>
      <c r="F184" s="10"/>
      <c r="G184" s="10"/>
      <c r="H184" s="10"/>
      <c r="I184" s="10"/>
    </row>
    <row r="185" spans="2:10" x14ac:dyDescent="0.25">
      <c r="C185" s="10"/>
      <c r="D185" s="10"/>
      <c r="E185" s="10"/>
      <c r="F185" s="10"/>
      <c r="G185" s="10"/>
      <c r="H185" s="10"/>
      <c r="I185" s="10"/>
    </row>
    <row r="186" spans="2:10" x14ac:dyDescent="0.25"/>
    <row r="187" spans="2:10" x14ac:dyDescent="0.25"/>
    <row r="188" spans="2:10" x14ac:dyDescent="0.25"/>
    <row r="189" spans="2:10" x14ac:dyDescent="0.25"/>
    <row r="190" spans="2:10" x14ac:dyDescent="0.25"/>
    <row r="191" spans="2:10" x14ac:dyDescent="0.25"/>
    <row r="192" spans="2:10"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sheetData>
  <sheetProtection algorithmName="SHA-512" hashValue="EeZkZi+8GPEH7sFhP2EWXBotIBL8Q5uwLWdNE9m/NEa6gvWOflE0XfNDhPkC1TL2lls/WbOxEd3d2MC0w4zA6A==" saltValue="k47pUdPaozOz+sfQx1v8e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H81:J84"/>
    <mergeCell ref="H91:J93"/>
    <mergeCell ref="H100:J104"/>
    <mergeCell ref="H179:J180"/>
    <mergeCell ref="C127:J127"/>
    <mergeCell ref="H152:J153"/>
    <mergeCell ref="H112:J113"/>
    <mergeCell ref="H106:J107"/>
    <mergeCell ref="C3:I3"/>
    <mergeCell ref="C4:I5"/>
    <mergeCell ref="C8:J8"/>
    <mergeCell ref="C63:J63"/>
    <mergeCell ref="D14:F14"/>
    <mergeCell ref="D15:F15"/>
    <mergeCell ref="D16:F16"/>
    <mergeCell ref="D17:F17"/>
    <mergeCell ref="C60:I60"/>
    <mergeCell ref="H52:J53"/>
  </mergeCells>
  <conditionalFormatting sqref="E86:F88">
    <cfRule type="expression" dxfId="1" priority="2">
      <formula>$D$82="Ja"</formula>
    </cfRule>
  </conditionalFormatting>
  <conditionalFormatting sqref="E95:F96 E101:F101">
    <cfRule type="expression" dxfId="0" priority="1">
      <formula>$D$81="Ja"</formula>
    </cfRule>
  </conditionalFormatting>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Oplysninger!$B$240:$B$248</xm:f>
          </x14:formula1>
          <xm:sqref>E27</xm:sqref>
        </x14:dataValidation>
        <x14:dataValidation type="list" allowBlank="1" showInputMessage="1" showErrorMessage="1" xr:uid="{047738BF-7C2D-4BE7-8DF6-D5D6E366C3C4}">
          <x14:formula1>
            <xm:f>Oplysninger!$B$261:$B$262</xm:f>
          </x14:formula1>
          <xm:sqref>F69:G69</xm:sqref>
        </x14:dataValidation>
        <x14:dataValidation type="list" allowBlank="1" showInputMessage="1" showErrorMessage="1" xr:uid="{191541E1-45C3-4099-8997-020E099D78C5}">
          <x14:formula1>
            <xm:f>Oplysninger!$D$261:$D$262</xm:f>
          </x14:formula1>
          <xm:sqref>E158 E133 D81:D82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D5305-3C4B-407B-B160-B3CF321498C6}">
  <dimension ref="A3:BI262"/>
  <sheetViews>
    <sheetView topLeftCell="A13" zoomScale="70" zoomScaleNormal="70" workbookViewId="0">
      <selection activeCell="I124" sqref="I124"/>
    </sheetView>
  </sheetViews>
  <sheetFormatPr defaultColWidth="9.140625" defaultRowHeight="15.75" x14ac:dyDescent="0.25"/>
  <cols>
    <col min="1" max="14" width="9.140625" style="55"/>
    <col min="15" max="15" width="12" style="55" bestFit="1" customWidth="1"/>
    <col min="16" max="16384" width="9.140625" style="55"/>
  </cols>
  <sheetData>
    <row r="3" spans="1:61" ht="18.75" x14ac:dyDescent="0.3">
      <c r="B3" s="116" t="s">
        <v>300</v>
      </c>
      <c r="C3" s="117"/>
      <c r="D3" s="117"/>
      <c r="E3" s="117"/>
      <c r="F3" s="117"/>
      <c r="G3" s="117"/>
      <c r="H3" s="117"/>
      <c r="I3" s="117"/>
      <c r="J3" s="117"/>
      <c r="K3" s="117"/>
      <c r="L3" s="117"/>
      <c r="M3" s="35"/>
      <c r="N3" s="35"/>
      <c r="O3" s="35"/>
      <c r="P3" s="35"/>
      <c r="Q3" s="35"/>
      <c r="R3" s="35"/>
    </row>
    <row r="4" spans="1:61" x14ac:dyDescent="0.25">
      <c r="B4" s="55" t="s">
        <v>299</v>
      </c>
    </row>
    <row r="5" spans="1:61" s="119" customFormat="1" ht="18.75" x14ac:dyDescent="0.3">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s="130" customFormat="1" x14ac:dyDescent="0.25">
      <c r="B6" s="131" t="s">
        <v>132</v>
      </c>
    </row>
    <row r="7" spans="1:61" x14ac:dyDescent="0.25">
      <c r="B7" s="54"/>
    </row>
    <row r="8" spans="1:61" x14ac:dyDescent="0.25">
      <c r="B8" s="81" t="s">
        <v>136</v>
      </c>
      <c r="N8" s="81" t="s">
        <v>135</v>
      </c>
    </row>
    <row r="9" spans="1:61" x14ac:dyDescent="0.25">
      <c r="B9" s="81" t="s">
        <v>131</v>
      </c>
      <c r="N9" s="124" t="s">
        <v>133</v>
      </c>
    </row>
    <row r="10" spans="1:61" x14ac:dyDescent="0.25">
      <c r="B10" s="54"/>
      <c r="N10" s="55" t="s">
        <v>134</v>
      </c>
    </row>
    <row r="11" spans="1:61" x14ac:dyDescent="0.25">
      <c r="B11" s="54"/>
    </row>
    <row r="12" spans="1:61" x14ac:dyDescent="0.25">
      <c r="B12" s="54"/>
    </row>
    <row r="13" spans="1:61" x14ac:dyDescent="0.25">
      <c r="B13" s="54"/>
    </row>
    <row r="14" spans="1:61" x14ac:dyDescent="0.25">
      <c r="B14" s="54"/>
    </row>
    <row r="15" spans="1:61" x14ac:dyDescent="0.25">
      <c r="B15" s="54"/>
    </row>
    <row r="16" spans="1:61" ht="15" customHeight="1" x14ac:dyDescent="0.25">
      <c r="B16" s="54"/>
    </row>
    <row r="17" spans="1:61" x14ac:dyDescent="0.25">
      <c r="B17" s="54"/>
    </row>
    <row r="18" spans="1:61" s="118" customFormat="1" x14ac:dyDescent="0.25">
      <c r="A18" s="55"/>
      <c r="B18" s="54"/>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25">
      <c r="B19" s="54"/>
    </row>
    <row r="20" spans="1:61" x14ac:dyDescent="0.25">
      <c r="B20" s="54"/>
    </row>
    <row r="21" spans="1:61" x14ac:dyDescent="0.25">
      <c r="B21" s="54"/>
    </row>
    <row r="22" spans="1:61" x14ac:dyDescent="0.25">
      <c r="B22" s="54"/>
    </row>
    <row r="23" spans="1:61" x14ac:dyDescent="0.25">
      <c r="B23" s="54"/>
    </row>
    <row r="24" spans="1:61" x14ac:dyDescent="0.25">
      <c r="B24" s="54"/>
    </row>
    <row r="25" spans="1:61" x14ac:dyDescent="0.25">
      <c r="B25" s="54"/>
    </row>
    <row r="26" spans="1:61" x14ac:dyDescent="0.25">
      <c r="B26" s="81"/>
    </row>
    <row r="27" spans="1:61" x14ac:dyDescent="0.25">
      <c r="B27" s="81"/>
    </row>
    <row r="28" spans="1:61" s="130" customFormat="1" x14ac:dyDescent="0.25">
      <c r="B28" s="131" t="s">
        <v>137</v>
      </c>
    </row>
    <row r="29" spans="1:61" x14ac:dyDescent="0.25">
      <c r="B29" s="54"/>
    </row>
    <row r="30" spans="1:61" x14ac:dyDescent="0.25">
      <c r="B30" s="55" t="s">
        <v>141</v>
      </c>
    </row>
    <row r="31" spans="1:61" x14ac:dyDescent="0.25">
      <c r="B31" s="55" t="s">
        <v>138</v>
      </c>
    </row>
    <row r="32" spans="1:61" x14ac:dyDescent="0.25">
      <c r="B32" s="55" t="s">
        <v>139</v>
      </c>
    </row>
    <row r="33" spans="2:16" x14ac:dyDescent="0.25">
      <c r="B33" s="103" t="s">
        <v>140</v>
      </c>
    </row>
    <row r="34" spans="2:16" x14ac:dyDescent="0.25">
      <c r="B34" s="81" t="s">
        <v>142</v>
      </c>
    </row>
    <row r="35" spans="2:16" x14ac:dyDescent="0.25">
      <c r="B35" s="81"/>
    </row>
    <row r="36" spans="2:16" s="130" customFormat="1" x14ac:dyDescent="0.25">
      <c r="B36" s="131" t="s">
        <v>122</v>
      </c>
    </row>
    <row r="37" spans="2:16" x14ac:dyDescent="0.25">
      <c r="B37" s="54"/>
    </row>
    <row r="38" spans="2:16" x14ac:dyDescent="0.25">
      <c r="B38" s="55" t="s">
        <v>112</v>
      </c>
    </row>
    <row r="40" spans="2:16" x14ac:dyDescent="0.25">
      <c r="B40" s="55" t="s">
        <v>117</v>
      </c>
      <c r="I40" s="81" t="s">
        <v>174</v>
      </c>
    </row>
    <row r="41" spans="2:16" x14ac:dyDescent="0.25">
      <c r="B41" s="55" t="s">
        <v>118</v>
      </c>
      <c r="I41" s="81" t="s">
        <v>175</v>
      </c>
    </row>
    <row r="45" spans="2:16" x14ac:dyDescent="0.25">
      <c r="P45" s="81" t="s">
        <v>135</v>
      </c>
    </row>
    <row r="46" spans="2:16" x14ac:dyDescent="0.25">
      <c r="P46" s="124" t="s">
        <v>133</v>
      </c>
    </row>
    <row r="47" spans="2:16" x14ac:dyDescent="0.25">
      <c r="B47" s="81"/>
    </row>
    <row r="48" spans="2:16" x14ac:dyDescent="0.25">
      <c r="B48" s="81"/>
    </row>
    <row r="49" spans="2:16" x14ac:dyDescent="0.25">
      <c r="B49" s="81"/>
    </row>
    <row r="50" spans="2:16" s="130" customFormat="1" x14ac:dyDescent="0.25">
      <c r="B50" s="131" t="s">
        <v>176</v>
      </c>
    </row>
    <row r="51" spans="2:16" x14ac:dyDescent="0.25">
      <c r="B51" s="81"/>
    </row>
    <row r="52" spans="2:16" x14ac:dyDescent="0.25">
      <c r="B52" s="81"/>
    </row>
    <row r="53" spans="2:16" x14ac:dyDescent="0.25">
      <c r="B53" s="81"/>
      <c r="P53" s="81" t="s">
        <v>135</v>
      </c>
    </row>
    <row r="54" spans="2:16" x14ac:dyDescent="0.25">
      <c r="B54" s="81"/>
      <c r="P54" s="124" t="s">
        <v>133</v>
      </c>
    </row>
    <row r="55" spans="2:16" x14ac:dyDescent="0.25">
      <c r="B55" s="81"/>
    </row>
    <row r="56" spans="2:16" x14ac:dyDescent="0.25">
      <c r="B56" s="81"/>
    </row>
    <row r="57" spans="2:16" s="130" customFormat="1" x14ac:dyDescent="0.25">
      <c r="B57" s="131" t="s">
        <v>177</v>
      </c>
    </row>
    <row r="58" spans="2:16" x14ac:dyDescent="0.25">
      <c r="B58" s="54"/>
    </row>
    <row r="59" spans="2:16" x14ac:dyDescent="0.25">
      <c r="B59" s="55" t="s">
        <v>179</v>
      </c>
      <c r="O59" s="81" t="s">
        <v>178</v>
      </c>
      <c r="P59" s="81" t="s">
        <v>182</v>
      </c>
    </row>
    <row r="60" spans="2:16" x14ac:dyDescent="0.25">
      <c r="B60" s="135" t="s">
        <v>180</v>
      </c>
      <c r="E60" s="136">
        <v>19000</v>
      </c>
      <c r="F60" s="55" t="s">
        <v>183</v>
      </c>
      <c r="P60" s="81" t="s">
        <v>168</v>
      </c>
    </row>
    <row r="61" spans="2:16" x14ac:dyDescent="0.25">
      <c r="B61" s="135" t="s">
        <v>181</v>
      </c>
      <c r="E61" s="136">
        <v>24000</v>
      </c>
      <c r="F61" s="55" t="s">
        <v>184</v>
      </c>
    </row>
    <row r="62" spans="2:16" x14ac:dyDescent="0.25">
      <c r="B62" s="81"/>
    </row>
    <row r="63" spans="2:16" s="130" customFormat="1" x14ac:dyDescent="0.25">
      <c r="B63" s="131" t="s">
        <v>242</v>
      </c>
    </row>
    <row r="64" spans="2:16" x14ac:dyDescent="0.25">
      <c r="G64" s="81"/>
    </row>
    <row r="65" spans="2:12" x14ac:dyDescent="0.25">
      <c r="B65" t="s">
        <v>246</v>
      </c>
      <c r="G65" s="124"/>
      <c r="K65" s="81" t="s">
        <v>244</v>
      </c>
    </row>
    <row r="66" spans="2:12" x14ac:dyDescent="0.25">
      <c r="B66" s="55" t="s">
        <v>247</v>
      </c>
      <c r="G66" s="124"/>
      <c r="K66" s="124" t="s">
        <v>245</v>
      </c>
    </row>
    <row r="67" spans="2:12" x14ac:dyDescent="0.25">
      <c r="G67" s="124"/>
    </row>
    <row r="68" spans="2:12" x14ac:dyDescent="0.25">
      <c r="B68" s="55" t="s">
        <v>243</v>
      </c>
      <c r="K68" s="81" t="s">
        <v>40</v>
      </c>
      <c r="L68" s="124" t="s">
        <v>241</v>
      </c>
    </row>
    <row r="69" spans="2:12" x14ac:dyDescent="0.25">
      <c r="G69" s="124"/>
    </row>
    <row r="71" spans="2:12" s="130" customFormat="1" x14ac:dyDescent="0.25">
      <c r="B71" s="131" t="s">
        <v>193</v>
      </c>
    </row>
    <row r="72" spans="2:12" x14ac:dyDescent="0.25">
      <c r="B72" s="54"/>
    </row>
    <row r="73" spans="2:12" x14ac:dyDescent="0.25">
      <c r="B73" s="55" t="s">
        <v>192</v>
      </c>
      <c r="K73" s="81"/>
    </row>
    <row r="74" spans="2:12" x14ac:dyDescent="0.25">
      <c r="B74" s="55" t="s">
        <v>190</v>
      </c>
      <c r="E74" s="127" t="s">
        <v>191</v>
      </c>
      <c r="K74" s="81"/>
    </row>
    <row r="75" spans="2:12" x14ac:dyDescent="0.25">
      <c r="B75" s="55" t="s">
        <v>186</v>
      </c>
      <c r="K75" s="81"/>
    </row>
    <row r="76" spans="2:12" x14ac:dyDescent="0.25">
      <c r="B76" s="127" t="s">
        <v>170</v>
      </c>
    </row>
    <row r="77" spans="2:12" x14ac:dyDescent="0.25">
      <c r="B77" s="55" t="s">
        <v>171</v>
      </c>
    </row>
    <row r="78" spans="2:12" x14ac:dyDescent="0.25">
      <c r="B78" s="81"/>
    </row>
    <row r="79" spans="2:12" s="130" customFormat="1" x14ac:dyDescent="0.25">
      <c r="B79" s="131" t="s">
        <v>113</v>
      </c>
    </row>
    <row r="80" spans="2:12" x14ac:dyDescent="0.25">
      <c r="B80" s="54"/>
    </row>
    <row r="81" spans="1:61" x14ac:dyDescent="0.25">
      <c r="B81" s="55" t="s">
        <v>116</v>
      </c>
    </row>
    <row r="82" spans="1:61" x14ac:dyDescent="0.25">
      <c r="B82" s="55" t="s">
        <v>115</v>
      </c>
    </row>
    <row r="83" spans="1:61" x14ac:dyDescent="0.25">
      <c r="B83" s="55" t="s">
        <v>114</v>
      </c>
    </row>
    <row r="85" spans="1:61" s="130" customFormat="1" x14ac:dyDescent="0.25">
      <c r="B85" s="131" t="s">
        <v>41</v>
      </c>
    </row>
    <row r="86" spans="1:61" x14ac:dyDescent="0.25">
      <c r="B86" s="54"/>
    </row>
    <row r="87" spans="1:61" x14ac:dyDescent="0.25">
      <c r="B87" s="55" t="s">
        <v>95</v>
      </c>
    </row>
    <row r="88" spans="1:61" x14ac:dyDescent="0.25">
      <c r="B88" s="55" t="s">
        <v>93</v>
      </c>
    </row>
    <row r="91" spans="1:61" x14ac:dyDescent="0.25">
      <c r="H91" s="98" t="s">
        <v>96</v>
      </c>
      <c r="I91" s="81"/>
      <c r="J91" s="81"/>
      <c r="K91" s="81"/>
      <c r="L91" s="81"/>
      <c r="M91" s="81"/>
      <c r="N91" s="81"/>
      <c r="O91" s="81"/>
    </row>
    <row r="92" spans="1:61" x14ac:dyDescent="0.25">
      <c r="H92" s="98" t="s">
        <v>97</v>
      </c>
      <c r="I92" s="81"/>
      <c r="J92" s="81"/>
      <c r="K92" s="81"/>
      <c r="L92" s="81"/>
      <c r="M92" s="81"/>
      <c r="N92" s="81"/>
      <c r="O92" s="81"/>
    </row>
    <row r="93" spans="1:61" x14ac:dyDescent="0.25">
      <c r="H93" s="99" t="s">
        <v>98</v>
      </c>
    </row>
    <row r="94" spans="1:61" s="97" customFormat="1" x14ac:dyDescent="0.25">
      <c r="A94" s="55"/>
      <c r="B94" s="55"/>
      <c r="C94" s="55"/>
      <c r="D94" s="55"/>
      <c r="E94" s="55"/>
      <c r="F94" s="55"/>
      <c r="G94" s="55"/>
      <c r="H94" s="100"/>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25">
      <c r="H95" s="100"/>
    </row>
    <row r="96" spans="1:61" x14ac:dyDescent="0.25">
      <c r="H96" s="100"/>
    </row>
    <row r="97" spans="1:61" x14ac:dyDescent="0.25">
      <c r="H97" s="100"/>
    </row>
    <row r="98" spans="1:61" x14ac:dyDescent="0.25">
      <c r="H98" s="100"/>
    </row>
    <row r="99" spans="1:61" s="97" customFormat="1" x14ac:dyDescent="0.25">
      <c r="A99" s="55"/>
      <c r="B99" s="55"/>
      <c r="C99" s="55"/>
      <c r="D99" s="55"/>
      <c r="E99" s="55"/>
      <c r="F99" s="55"/>
      <c r="G99" s="55"/>
      <c r="H99" s="100"/>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25">
      <c r="C100" s="10"/>
      <c r="D100" s="10"/>
      <c r="E100" s="13"/>
      <c r="F100" s="10"/>
      <c r="G100" s="10"/>
      <c r="H100" s="100"/>
    </row>
    <row r="101" spans="1:61" x14ac:dyDescent="0.25">
      <c r="H101" s="100"/>
    </row>
    <row r="102" spans="1:61" x14ac:dyDescent="0.25">
      <c r="H102" s="100"/>
    </row>
    <row r="103" spans="1:61" x14ac:dyDescent="0.25">
      <c r="H103" s="100"/>
    </row>
    <row r="104" spans="1:61" x14ac:dyDescent="0.25">
      <c r="H104" s="100"/>
    </row>
    <row r="105" spans="1:61" x14ac:dyDescent="0.25">
      <c r="H105" s="100"/>
    </row>
    <row r="106" spans="1:61" x14ac:dyDescent="0.25">
      <c r="H106" s="100"/>
    </row>
    <row r="107" spans="1:61" x14ac:dyDescent="0.25">
      <c r="H107" s="100"/>
    </row>
    <row r="108" spans="1:61" x14ac:dyDescent="0.25">
      <c r="B108" s="81" t="s">
        <v>40</v>
      </c>
      <c r="C108" s="101" t="s">
        <v>33</v>
      </c>
    </row>
    <row r="110" spans="1:61" s="131" customFormat="1" x14ac:dyDescent="0.25">
      <c r="B110" s="131" t="s">
        <v>205</v>
      </c>
    </row>
    <row r="112" spans="1:61" x14ac:dyDescent="0.25">
      <c r="B112" s="55" t="s">
        <v>210</v>
      </c>
      <c r="O112" s="55" t="s">
        <v>206</v>
      </c>
    </row>
    <row r="113" spans="1:15" x14ac:dyDescent="0.25">
      <c r="B113" s="55" t="s">
        <v>265</v>
      </c>
    </row>
    <row r="114" spans="1:15" x14ac:dyDescent="0.25">
      <c r="B114" s="55" t="s">
        <v>208</v>
      </c>
      <c r="O114" s="55" t="s">
        <v>207</v>
      </c>
    </row>
    <row r="115" spans="1:15" x14ac:dyDescent="0.25">
      <c r="B115" s="55" t="s">
        <v>209</v>
      </c>
    </row>
    <row r="116" spans="1:15" x14ac:dyDescent="0.25">
      <c r="B116" s="55" t="s">
        <v>211</v>
      </c>
    </row>
    <row r="117" spans="1:15" x14ac:dyDescent="0.25">
      <c r="B117" s="55" t="s">
        <v>212</v>
      </c>
    </row>
    <row r="119" spans="1:15" s="130" customFormat="1" x14ac:dyDescent="0.25">
      <c r="B119" s="131" t="s">
        <v>172</v>
      </c>
    </row>
    <row r="120" spans="1:15" x14ac:dyDescent="0.25">
      <c r="B120" s="54"/>
    </row>
    <row r="121" spans="1:15" x14ac:dyDescent="0.25">
      <c r="B121" s="55" t="s">
        <v>0</v>
      </c>
      <c r="C121" s="147" t="s">
        <v>65</v>
      </c>
      <c r="D121" s="147"/>
      <c r="E121" s="55" t="s">
        <v>99</v>
      </c>
    </row>
    <row r="122" spans="1:15" x14ac:dyDescent="0.25">
      <c r="A122" s="102"/>
      <c r="B122" s="55" t="s">
        <v>66</v>
      </c>
      <c r="C122" s="100">
        <v>0.8</v>
      </c>
      <c r="D122" s="100"/>
      <c r="E122" s="55" t="s">
        <v>100</v>
      </c>
    </row>
    <row r="123" spans="1:15" x14ac:dyDescent="0.25">
      <c r="A123" s="102"/>
      <c r="B123" s="227"/>
      <c r="C123" s="227"/>
      <c r="D123" s="227"/>
      <c r="E123" s="227"/>
      <c r="F123" s="227"/>
      <c r="G123" s="227"/>
      <c r="H123" s="227"/>
      <c r="I123" s="227"/>
      <c r="J123" s="227"/>
      <c r="K123" s="227"/>
    </row>
    <row r="124" spans="1:15" x14ac:dyDescent="0.25">
      <c r="B124" s="81" t="s">
        <v>124</v>
      </c>
    </row>
    <row r="126" spans="1:15" x14ac:dyDescent="0.25">
      <c r="B126" s="54" t="s">
        <v>67</v>
      </c>
    </row>
    <row r="127" spans="1:15" x14ac:dyDescent="0.25">
      <c r="B127" s="55" t="s">
        <v>68</v>
      </c>
    </row>
    <row r="128" spans="1:15" x14ac:dyDescent="0.25">
      <c r="B128" s="226" t="s">
        <v>70</v>
      </c>
      <c r="C128" s="226"/>
      <c r="D128" s="226"/>
      <c r="E128" s="226"/>
      <c r="F128" s="226"/>
      <c r="G128" s="226"/>
      <c r="H128" s="226"/>
      <c r="I128" s="226"/>
      <c r="J128" s="226"/>
      <c r="K128" s="226"/>
    </row>
    <row r="129" spans="1:61" x14ac:dyDescent="0.25">
      <c r="B129" s="226"/>
      <c r="C129" s="226"/>
      <c r="D129" s="226"/>
      <c r="E129" s="226"/>
      <c r="F129" s="226"/>
      <c r="G129" s="226"/>
      <c r="H129" s="226"/>
      <c r="I129" s="226"/>
      <c r="J129" s="226"/>
      <c r="K129" s="226"/>
    </row>
    <row r="130" spans="1:61" x14ac:dyDescent="0.25">
      <c r="B130" s="81" t="s">
        <v>125</v>
      </c>
    </row>
    <row r="131" spans="1:61" x14ac:dyDescent="0.25">
      <c r="B131" s="81" t="s">
        <v>69</v>
      </c>
    </row>
    <row r="133" spans="1:61" s="97" customFormat="1" x14ac:dyDescent="0.2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row>
    <row r="134" spans="1:61" s="130" customFormat="1" x14ac:dyDescent="0.25">
      <c r="B134" s="131" t="s">
        <v>237</v>
      </c>
      <c r="O134" s="131" t="s">
        <v>123</v>
      </c>
    </row>
    <row r="135" spans="1:61" x14ac:dyDescent="0.25">
      <c r="B135" s="54"/>
      <c r="O135" s="54"/>
    </row>
    <row r="136" spans="1:61" x14ac:dyDescent="0.25">
      <c r="B136" s="55" t="s">
        <v>238</v>
      </c>
    </row>
    <row r="137" spans="1:61" ht="17.25" customHeight="1" x14ac:dyDescent="0.25">
      <c r="B137" s="55" t="s">
        <v>103</v>
      </c>
      <c r="O137" s="55" t="s">
        <v>127</v>
      </c>
      <c r="S137" s="55" t="s">
        <v>126</v>
      </c>
    </row>
    <row r="138" spans="1:61" x14ac:dyDescent="0.25">
      <c r="B138" s="55" t="s">
        <v>239</v>
      </c>
      <c r="O138" s="55" t="s">
        <v>130</v>
      </c>
      <c r="S138" s="55" t="s">
        <v>128</v>
      </c>
    </row>
    <row r="139" spans="1:61" x14ac:dyDescent="0.25">
      <c r="B139" s="154" t="s">
        <v>200</v>
      </c>
      <c r="C139" s="154"/>
      <c r="D139" s="154"/>
      <c r="E139" s="154"/>
      <c r="F139" s="154"/>
      <c r="G139" s="154"/>
      <c r="H139" s="154"/>
      <c r="I139" s="154"/>
      <c r="J139" s="154"/>
      <c r="K139" s="154"/>
      <c r="L139" s="154"/>
      <c r="M139" s="154"/>
      <c r="S139" s="55" t="s">
        <v>129</v>
      </c>
    </row>
    <row r="140" spans="1:61" x14ac:dyDescent="0.25">
      <c r="B140" s="154" t="s">
        <v>240</v>
      </c>
      <c r="C140" s="154"/>
      <c r="D140" s="154"/>
      <c r="E140" s="154"/>
      <c r="F140" s="154"/>
      <c r="G140" s="154"/>
      <c r="H140" s="154"/>
      <c r="I140" s="154"/>
      <c r="J140" s="154"/>
      <c r="K140" s="154"/>
      <c r="L140" s="154"/>
      <c r="M140" s="154"/>
    </row>
    <row r="142" spans="1:61" x14ac:dyDescent="0.25">
      <c r="B142" s="55" t="s">
        <v>107</v>
      </c>
    </row>
    <row r="143" spans="1:61" x14ac:dyDescent="0.25">
      <c r="B143" s="81" t="s">
        <v>104</v>
      </c>
    </row>
    <row r="145" spans="1:61" x14ac:dyDescent="0.25">
      <c r="E145" s="55" t="s">
        <v>105</v>
      </c>
      <c r="G145" s="55" t="s">
        <v>106</v>
      </c>
    </row>
    <row r="146" spans="1:61" x14ac:dyDescent="0.25">
      <c r="B146" s="55" t="s">
        <v>108</v>
      </c>
      <c r="E146" s="55">
        <v>3.15</v>
      </c>
      <c r="G146" s="55">
        <v>4.05</v>
      </c>
    </row>
    <row r="148" spans="1:61" s="97" customFormat="1" x14ac:dyDescent="0.25">
      <c r="A148" s="55"/>
      <c r="B148" s="55" t="s">
        <v>109</v>
      </c>
      <c r="C148" s="55"/>
      <c r="D148" s="55"/>
      <c r="E148" s="55">
        <v>2.95</v>
      </c>
      <c r="F148" s="55"/>
      <c r="G148" s="55">
        <v>3.75</v>
      </c>
      <c r="H148" s="55"/>
      <c r="I148" s="55" t="s">
        <v>119</v>
      </c>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row>
    <row r="149" spans="1:61" x14ac:dyDescent="0.25">
      <c r="I149" s="103" t="s">
        <v>120</v>
      </c>
    </row>
    <row r="150" spans="1:61" x14ac:dyDescent="0.25">
      <c r="B150" s="55" t="s">
        <v>110</v>
      </c>
      <c r="E150" s="55">
        <v>3.45</v>
      </c>
      <c r="G150" s="55">
        <v>4.3499999999999996</v>
      </c>
    </row>
    <row r="152" spans="1:61" x14ac:dyDescent="0.25">
      <c r="B152" s="55" t="s">
        <v>111</v>
      </c>
      <c r="E152" s="55">
        <v>3.25</v>
      </c>
      <c r="G152" s="55">
        <v>4.05</v>
      </c>
      <c r="I152" s="55" t="s">
        <v>121</v>
      </c>
    </row>
    <row r="153" spans="1:61" x14ac:dyDescent="0.25">
      <c r="I153" s="55" t="s">
        <v>120</v>
      </c>
    </row>
    <row r="156" spans="1:61" s="130" customFormat="1" x14ac:dyDescent="0.25">
      <c r="B156" s="131" t="s">
        <v>257</v>
      </c>
    </row>
    <row r="158" spans="1:61" x14ac:dyDescent="0.25">
      <c r="B158" s="173" t="s">
        <v>249</v>
      </c>
    </row>
    <row r="159" spans="1:61" x14ac:dyDescent="0.25">
      <c r="B159" s="173" t="s">
        <v>252</v>
      </c>
    </row>
    <row r="160" spans="1:61" x14ac:dyDescent="0.25">
      <c r="B160" s="173" t="s">
        <v>250</v>
      </c>
    </row>
    <row r="161" spans="2:2" x14ac:dyDescent="0.25">
      <c r="B161" s="173" t="s">
        <v>251</v>
      </c>
    </row>
    <row r="162" spans="2:2" x14ac:dyDescent="0.25">
      <c r="B162" s="174" t="s">
        <v>253</v>
      </c>
    </row>
    <row r="164" spans="2:2" x14ac:dyDescent="0.25">
      <c r="B164" s="54" t="s">
        <v>254</v>
      </c>
    </row>
    <row r="165" spans="2:2" x14ac:dyDescent="0.25">
      <c r="B165" s="172" t="s">
        <v>255</v>
      </c>
    </row>
    <row r="166" spans="2:2" x14ac:dyDescent="0.25">
      <c r="B166" s="175" t="s">
        <v>256</v>
      </c>
    </row>
    <row r="191" spans="2:9" ht="15.6" customHeight="1" x14ac:dyDescent="0.25">
      <c r="B191" s="227" t="s">
        <v>263</v>
      </c>
      <c r="C191" s="227"/>
      <c r="D191" s="227"/>
      <c r="E191" s="227"/>
      <c r="F191" s="227"/>
      <c r="G191" s="227"/>
      <c r="H191" s="227"/>
      <c r="I191" s="227"/>
    </row>
    <row r="192" spans="2:9" x14ac:dyDescent="0.25">
      <c r="B192" s="227"/>
      <c r="C192" s="227"/>
      <c r="D192" s="227"/>
      <c r="E192" s="227"/>
      <c r="F192" s="227"/>
      <c r="G192" s="227"/>
      <c r="H192" s="227"/>
      <c r="I192" s="227"/>
    </row>
    <row r="193" spans="2:9" x14ac:dyDescent="0.25">
      <c r="B193" s="227"/>
      <c r="C193" s="227"/>
      <c r="D193" s="227"/>
      <c r="E193" s="227"/>
      <c r="F193" s="227"/>
      <c r="G193" s="227"/>
      <c r="H193" s="227"/>
      <c r="I193" s="227"/>
    </row>
    <row r="194" spans="2:9" x14ac:dyDescent="0.25">
      <c r="B194" s="227"/>
      <c r="C194" s="227"/>
      <c r="D194" s="227"/>
      <c r="E194" s="227"/>
      <c r="F194" s="227"/>
      <c r="G194" s="227"/>
      <c r="H194" s="227"/>
      <c r="I194" s="227"/>
    </row>
    <row r="195" spans="2:9" x14ac:dyDescent="0.25">
      <c r="B195" s="227"/>
      <c r="C195" s="227"/>
      <c r="D195" s="227"/>
      <c r="E195" s="227"/>
      <c r="F195" s="227"/>
      <c r="G195" s="227"/>
      <c r="H195" s="227"/>
      <c r="I195" s="227"/>
    </row>
    <row r="196" spans="2:9" x14ac:dyDescent="0.25">
      <c r="B196" s="227"/>
      <c r="C196" s="227"/>
      <c r="D196" s="227"/>
      <c r="E196" s="227"/>
      <c r="F196" s="227"/>
      <c r="G196" s="227"/>
      <c r="H196" s="227"/>
      <c r="I196" s="227"/>
    </row>
    <row r="197" spans="2:9" x14ac:dyDescent="0.25">
      <c r="B197" s="227"/>
      <c r="C197" s="227"/>
      <c r="D197" s="227"/>
      <c r="E197" s="227"/>
      <c r="F197" s="227"/>
      <c r="G197" s="227"/>
      <c r="H197" s="227"/>
      <c r="I197" s="227"/>
    </row>
    <row r="198" spans="2:9" x14ac:dyDescent="0.25">
      <c r="B198" s="227"/>
      <c r="C198" s="227"/>
      <c r="D198" s="227"/>
      <c r="E198" s="227"/>
      <c r="F198" s="227"/>
      <c r="G198" s="227"/>
      <c r="H198" s="227"/>
      <c r="I198" s="227"/>
    </row>
    <row r="199" spans="2:9" x14ac:dyDescent="0.25">
      <c r="B199" s="55" t="s">
        <v>259</v>
      </c>
      <c r="D199" s="171" t="s">
        <v>258</v>
      </c>
    </row>
    <row r="208" spans="2:9" s="130" customFormat="1" x14ac:dyDescent="0.25">
      <c r="B208" s="131" t="s">
        <v>260</v>
      </c>
    </row>
    <row r="210" spans="2:15" ht="15.6" customHeight="1" x14ac:dyDescent="0.25">
      <c r="B210" s="178" t="s">
        <v>273</v>
      </c>
      <c r="C210" s="176"/>
      <c r="D210" s="176"/>
      <c r="E210" s="176"/>
      <c r="F210" s="176"/>
      <c r="G210" s="176"/>
      <c r="H210" s="176"/>
      <c r="I210" s="176"/>
      <c r="J210" s="176"/>
      <c r="K210" s="176"/>
      <c r="L210" s="176"/>
      <c r="M210" s="176"/>
      <c r="N210" s="176"/>
      <c r="O210" s="176"/>
    </row>
    <row r="211" spans="2:15" x14ac:dyDescent="0.25">
      <c r="B211" s="178" t="s">
        <v>274</v>
      </c>
      <c r="C211" s="176"/>
      <c r="D211" s="176"/>
      <c r="E211" s="176"/>
      <c r="F211" s="176"/>
      <c r="G211" s="176"/>
      <c r="H211" s="176"/>
      <c r="I211" s="176"/>
      <c r="J211" s="176"/>
      <c r="K211" s="176"/>
      <c r="L211" s="176"/>
      <c r="M211" s="176"/>
      <c r="N211" s="176"/>
      <c r="O211" s="176"/>
    </row>
    <row r="212" spans="2:15" x14ac:dyDescent="0.25">
      <c r="B212" s="176"/>
      <c r="C212" s="176"/>
      <c r="D212" s="176"/>
      <c r="E212" s="176"/>
      <c r="F212" s="176"/>
      <c r="G212" s="176"/>
      <c r="H212" s="176"/>
      <c r="I212" s="176"/>
      <c r="J212" s="176"/>
      <c r="K212" s="176"/>
      <c r="L212" s="176"/>
      <c r="M212" s="176"/>
      <c r="N212" s="176"/>
      <c r="O212" s="176"/>
    </row>
    <row r="213" spans="2:15" x14ac:dyDescent="0.25">
      <c r="B213" s="55" t="s">
        <v>261</v>
      </c>
      <c r="C213" s="176"/>
      <c r="D213" s="176"/>
      <c r="E213" s="176"/>
      <c r="F213" s="176"/>
      <c r="G213" s="176"/>
      <c r="H213" s="176"/>
      <c r="I213" s="176"/>
      <c r="J213" s="176"/>
    </row>
    <row r="214" spans="2:15" x14ac:dyDescent="0.25">
      <c r="B214" s="209" t="s">
        <v>248</v>
      </c>
      <c r="C214" s="176"/>
      <c r="D214" s="176"/>
      <c r="E214" s="176"/>
      <c r="F214" s="176"/>
      <c r="G214" s="176"/>
      <c r="H214" s="176"/>
      <c r="I214" s="176"/>
      <c r="J214" s="176"/>
    </row>
    <row r="215" spans="2:15" x14ac:dyDescent="0.25">
      <c r="B215" s="55" t="s">
        <v>262</v>
      </c>
    </row>
    <row r="218" spans="2:15" x14ac:dyDescent="0.25">
      <c r="B218" s="54" t="s">
        <v>267</v>
      </c>
    </row>
    <row r="219" spans="2:15" x14ac:dyDescent="0.25">
      <c r="B219" s="55" t="s">
        <v>269</v>
      </c>
    </row>
    <row r="220" spans="2:15" x14ac:dyDescent="0.25">
      <c r="B220" s="127" t="s">
        <v>268</v>
      </c>
    </row>
    <row r="221" spans="2:15" x14ac:dyDescent="0.25">
      <c r="B221" s="208" t="s">
        <v>293</v>
      </c>
    </row>
    <row r="222" spans="2:15" x14ac:dyDescent="0.25">
      <c r="B222" s="55" t="s">
        <v>270</v>
      </c>
    </row>
    <row r="223" spans="2:15" x14ac:dyDescent="0.25">
      <c r="B223" s="55" t="s">
        <v>295</v>
      </c>
    </row>
    <row r="224" spans="2:15" x14ac:dyDescent="0.25">
      <c r="B224" s="55" t="s">
        <v>271</v>
      </c>
    </row>
    <row r="225" spans="2:18" x14ac:dyDescent="0.25">
      <c r="B225" s="55" t="s">
        <v>272</v>
      </c>
    </row>
    <row r="226" spans="2:18" x14ac:dyDescent="0.25">
      <c r="B226" s="55" t="s">
        <v>296</v>
      </c>
    </row>
    <row r="227" spans="2:18" x14ac:dyDescent="0.25">
      <c r="B227" s="55" t="s">
        <v>294</v>
      </c>
    </row>
    <row r="230" spans="2:18" s="132" customFormat="1" x14ac:dyDescent="0.25">
      <c r="B230" s="133" t="s">
        <v>173</v>
      </c>
      <c r="C230" s="134"/>
      <c r="D230" s="134"/>
      <c r="E230" s="134"/>
      <c r="F230" s="134"/>
      <c r="G230" s="134"/>
      <c r="H230" s="134"/>
      <c r="I230" s="134"/>
      <c r="J230" s="134"/>
      <c r="K230" s="134"/>
      <c r="L230" s="134"/>
      <c r="M230" s="134"/>
      <c r="N230" s="134"/>
      <c r="O230" s="134"/>
      <c r="P230" s="134"/>
      <c r="Q230" s="134"/>
      <c r="R230" s="134"/>
    </row>
    <row r="232" spans="2:18" x14ac:dyDescent="0.25">
      <c r="B232" s="54" t="s">
        <v>42</v>
      </c>
    </row>
    <row r="234" spans="2:18" x14ac:dyDescent="0.25">
      <c r="B234" s="104" t="s">
        <v>0</v>
      </c>
      <c r="C234" s="105" t="s">
        <v>1</v>
      </c>
      <c r="D234" s="106"/>
      <c r="E234" s="104"/>
      <c r="F234" s="106"/>
      <c r="G234" s="35"/>
    </row>
    <row r="235" spans="2:18" x14ac:dyDescent="0.25">
      <c r="B235" s="100">
        <v>2011</v>
      </c>
      <c r="C235" s="107">
        <v>2979.4</v>
      </c>
      <c r="D235" s="106"/>
      <c r="E235" s="108"/>
      <c r="H235" s="109"/>
      <c r="I235" s="106"/>
      <c r="J235" s="100"/>
      <c r="K235" s="100"/>
    </row>
    <row r="236" spans="2:18" x14ac:dyDescent="0.25">
      <c r="B236" s="100">
        <v>2012</v>
      </c>
      <c r="C236" s="107">
        <v>3235.4</v>
      </c>
      <c r="D236" s="106"/>
      <c r="E236" s="108"/>
      <c r="H236" s="109"/>
      <c r="I236" s="106"/>
      <c r="J236" s="100"/>
      <c r="K236" s="100"/>
    </row>
    <row r="237" spans="2:18" x14ac:dyDescent="0.25">
      <c r="B237" s="100">
        <v>2013</v>
      </c>
      <c r="C237" s="107">
        <v>3208.8</v>
      </c>
      <c r="D237" s="106"/>
      <c r="E237" s="108"/>
      <c r="H237" s="109"/>
      <c r="I237" s="106"/>
      <c r="J237" s="100"/>
      <c r="K237" s="100"/>
    </row>
    <row r="238" spans="2:18" x14ac:dyDescent="0.25">
      <c r="B238" s="100">
        <v>2014</v>
      </c>
      <c r="C238" s="107">
        <v>2663.5</v>
      </c>
      <c r="D238" s="106"/>
      <c r="E238" s="106"/>
      <c r="F238" s="109"/>
      <c r="G238" s="106"/>
      <c r="H238" s="100"/>
      <c r="I238" s="100"/>
      <c r="J238" s="100"/>
      <c r="K238" s="100"/>
    </row>
    <row r="239" spans="2:18" x14ac:dyDescent="0.25">
      <c r="B239" s="110">
        <v>2015</v>
      </c>
      <c r="C239" s="111">
        <v>2921.8</v>
      </c>
      <c r="D239" s="110"/>
      <c r="E239" s="110"/>
      <c r="F239" s="110"/>
      <c r="G239" s="110"/>
      <c r="H239" s="100"/>
      <c r="I239" s="100"/>
      <c r="J239" s="100"/>
      <c r="K239" s="100"/>
    </row>
    <row r="240" spans="2:18" x14ac:dyDescent="0.25">
      <c r="B240" s="110">
        <v>2016</v>
      </c>
      <c r="C240" s="111">
        <v>2998.9</v>
      </c>
      <c r="D240" s="110"/>
      <c r="E240" s="110"/>
      <c r="F240" s="110"/>
      <c r="G240" s="110"/>
      <c r="H240" s="100"/>
      <c r="I240" s="100"/>
      <c r="J240" s="100"/>
      <c r="K240" s="100"/>
    </row>
    <row r="241" spans="1:61" x14ac:dyDescent="0.25">
      <c r="B241" s="110">
        <v>2017</v>
      </c>
      <c r="C241" s="111">
        <v>2971.4</v>
      </c>
      <c r="D241" s="110"/>
      <c r="E241" s="110"/>
      <c r="F241" s="110"/>
      <c r="G241" s="110"/>
      <c r="H241" s="100"/>
      <c r="I241" s="100"/>
      <c r="J241" s="100"/>
      <c r="K241" s="100"/>
    </row>
    <row r="242" spans="1:61" s="97" customFormat="1" x14ac:dyDescent="0.25">
      <c r="A242" s="55"/>
      <c r="B242" s="110">
        <v>2018</v>
      </c>
      <c r="C242" s="111">
        <v>2887.5</v>
      </c>
      <c r="D242" s="110"/>
      <c r="E242" s="110"/>
      <c r="F242" s="110"/>
      <c r="G242" s="110"/>
      <c r="H242" s="100"/>
      <c r="I242" s="100"/>
      <c r="J242" s="100"/>
      <c r="K242" s="100"/>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row>
    <row r="243" spans="1:61" x14ac:dyDescent="0.25">
      <c r="B243" s="110">
        <v>2019</v>
      </c>
      <c r="C243" s="111">
        <v>2847.3</v>
      </c>
      <c r="D243" s="110"/>
      <c r="E243" s="110"/>
      <c r="F243" s="110"/>
      <c r="G243" s="110"/>
      <c r="H243" s="100"/>
      <c r="I243" s="100"/>
      <c r="J243" s="100"/>
      <c r="K243" s="100"/>
    </row>
    <row r="244" spans="1:61" x14ac:dyDescent="0.25">
      <c r="B244" s="110">
        <v>2020</v>
      </c>
      <c r="C244" s="111">
        <v>2714.5</v>
      </c>
      <c r="D244" s="110"/>
      <c r="E244" s="110"/>
      <c r="F244" s="110"/>
      <c r="G244" s="110"/>
      <c r="H244" s="100"/>
      <c r="I244" s="100"/>
      <c r="J244" s="100"/>
      <c r="K244" s="100"/>
    </row>
    <row r="245" spans="1:61" x14ac:dyDescent="0.25">
      <c r="B245" s="110">
        <v>2021</v>
      </c>
      <c r="C245" s="111">
        <v>3098.4</v>
      </c>
      <c r="D245" s="110"/>
      <c r="E245" s="110"/>
      <c r="F245" s="110"/>
      <c r="G245" s="110"/>
      <c r="H245" s="100"/>
      <c r="I245" s="100"/>
      <c r="J245" s="100"/>
      <c r="K245" s="100"/>
    </row>
    <row r="246" spans="1:61" x14ac:dyDescent="0.25">
      <c r="B246" s="110">
        <v>2022</v>
      </c>
      <c r="C246" s="110" t="s">
        <v>7</v>
      </c>
      <c r="D246" s="110"/>
      <c r="E246" s="110"/>
      <c r="F246" s="110"/>
      <c r="G246" s="110"/>
      <c r="H246" s="100"/>
      <c r="I246" s="100"/>
      <c r="J246" s="100"/>
      <c r="K246" s="100"/>
    </row>
    <row r="247" spans="1:61" x14ac:dyDescent="0.25">
      <c r="B247" s="112">
        <v>2023</v>
      </c>
      <c r="C247" s="112" t="s">
        <v>7</v>
      </c>
      <c r="D247" s="112"/>
      <c r="E247" s="112"/>
      <c r="F247" s="112"/>
      <c r="G247" s="112"/>
      <c r="H247" s="100"/>
      <c r="I247" s="100"/>
      <c r="J247" s="100"/>
      <c r="K247" s="100"/>
    </row>
    <row r="248" spans="1:61" x14ac:dyDescent="0.25">
      <c r="B248" s="112">
        <v>2024</v>
      </c>
      <c r="C248" s="112" t="s">
        <v>7</v>
      </c>
      <c r="D248" s="112"/>
      <c r="E248" s="112"/>
      <c r="F248" s="112"/>
      <c r="G248" s="112"/>
      <c r="H248" s="100"/>
      <c r="I248" s="100"/>
      <c r="J248" s="100"/>
      <c r="K248" s="100"/>
    </row>
    <row r="249" spans="1:61" x14ac:dyDescent="0.25">
      <c r="B249" s="112"/>
      <c r="C249" s="112"/>
      <c r="D249" s="112"/>
      <c r="E249" s="112"/>
      <c r="F249" s="112"/>
      <c r="G249" s="112"/>
      <c r="H249" s="100"/>
      <c r="I249" s="100"/>
      <c r="J249" s="100"/>
      <c r="K249" s="100"/>
    </row>
    <row r="250" spans="1:61" x14ac:dyDescent="0.25">
      <c r="B250" s="112" t="s">
        <v>8</v>
      </c>
      <c r="C250" s="113">
        <v>2957</v>
      </c>
      <c r="D250" s="114" t="s">
        <v>297</v>
      </c>
      <c r="E250" s="112"/>
      <c r="F250" s="112"/>
      <c r="G250" s="112"/>
      <c r="H250" s="100"/>
      <c r="I250" s="100"/>
      <c r="J250" s="100"/>
      <c r="K250" s="100"/>
    </row>
    <row r="251" spans="1:61" x14ac:dyDescent="0.25">
      <c r="B251" s="115" t="s">
        <v>298</v>
      </c>
      <c r="D251" s="112"/>
      <c r="E251" s="112"/>
      <c r="F251" s="112"/>
      <c r="G251" s="112"/>
      <c r="H251" s="100"/>
      <c r="I251" s="100"/>
      <c r="J251" s="100"/>
      <c r="K251" s="100"/>
    </row>
    <row r="254" spans="1:61" x14ac:dyDescent="0.25">
      <c r="B254" s="54" t="s">
        <v>39</v>
      </c>
    </row>
    <row r="255" spans="1:61" x14ac:dyDescent="0.25">
      <c r="B255" s="55" t="s">
        <v>28</v>
      </c>
      <c r="E255" s="55">
        <v>11.02</v>
      </c>
      <c r="F255" s="55" t="s">
        <v>64</v>
      </c>
    </row>
    <row r="256" spans="1:61" x14ac:dyDescent="0.25">
      <c r="B256" s="55" t="s">
        <v>72</v>
      </c>
      <c r="E256" s="55">
        <v>4.8600000000000003</v>
      </c>
      <c r="F256" s="55" t="s">
        <v>73</v>
      </c>
    </row>
    <row r="257" spans="2:4" x14ac:dyDescent="0.25">
      <c r="B257" s="23" t="s">
        <v>38</v>
      </c>
    </row>
    <row r="260" spans="2:4" x14ac:dyDescent="0.25">
      <c r="B260" s="54" t="s">
        <v>43</v>
      </c>
    </row>
    <row r="261" spans="2:4" x14ac:dyDescent="0.25">
      <c r="B261" s="55" t="s">
        <v>15</v>
      </c>
      <c r="D261" s="55" t="s">
        <v>18</v>
      </c>
    </row>
    <row r="262" spans="2:4" x14ac:dyDescent="0.25">
      <c r="B262" s="55" t="s">
        <v>4</v>
      </c>
      <c r="D262" s="55" t="s">
        <v>19</v>
      </c>
    </row>
  </sheetData>
  <sheetProtection algorithmName="SHA-512" hashValue="uTaTj308CNxDiBB4Q33MjSjYCvzNdqQT56Hg1i5rLk1uv9xngWIOti+BACeyU9VeOAD1b0Gi1e8XFMvBRrAoFw==" saltValue="qIcZKQxVGEgKRYEKsEO+mA==" spinCount="100000" sheet="1" objects="1" scenarios="1"/>
  <mergeCells count="3">
    <mergeCell ref="B128:K129"/>
    <mergeCell ref="B123:K123"/>
    <mergeCell ref="B191:I198"/>
  </mergeCells>
  <hyperlinks>
    <hyperlink ref="C108" r:id="rId1" xr:uid="{73E2C7AA-4526-4D03-882D-3A5A67FA3570}"/>
    <hyperlink ref="N9" r:id="rId2" xr:uid="{60FACF01-A6B1-4D69-A116-53DB16AE74AE}"/>
    <hyperlink ref="B76" r:id="rId3" xr:uid="{46D0320A-6C2E-43A7-8AA8-5A21344BA99C}"/>
    <hyperlink ref="P46" r:id="rId4" xr:uid="{0C20A42B-3AD2-4D6E-AB5A-713C9E320C01}"/>
    <hyperlink ref="P54" r:id="rId5" xr:uid="{DF38790B-C197-436F-A758-3A09C77634C7}"/>
    <hyperlink ref="E74" r:id="rId6" xr:uid="{C7356793-4843-41FE-B2FA-737CA1886C74}"/>
    <hyperlink ref="K66" r:id="rId7" xr:uid="{C9528163-B17D-4D38-BD4B-916CC85EE33D}"/>
    <hyperlink ref="B214" r:id="rId8" xr:uid="{69897B1E-1266-45CF-837F-21D52C22F503}"/>
    <hyperlink ref="B162" r:id="rId9" xr:uid="{3BC37115-DEDB-4C5F-879F-BA7C7C10CAA4}"/>
    <hyperlink ref="B165" r:id="rId10" xr:uid="{654030F0-8754-4B09-8D71-A124BBF42E8A}"/>
    <hyperlink ref="D199" r:id="rId11" display="https://www.billigventilation.dk/shop/bosch-compress-7000i-aw-13-4689p.html" xr:uid="{AAEEEFF5-65AE-4024-A13F-A3F76A2B9C76}"/>
    <hyperlink ref="B220" r:id="rId12" xr:uid="{C57E4306-83DC-4E39-9971-52DFE88FE70E}"/>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M61"/>
  <sheetViews>
    <sheetView topLeftCell="A34" zoomScale="85" zoomScaleNormal="85" workbookViewId="0">
      <selection activeCell="J9" sqref="J9"/>
    </sheetView>
  </sheetViews>
  <sheetFormatPr defaultColWidth="9.140625" defaultRowHeight="15" x14ac:dyDescent="0.25"/>
  <cols>
    <col min="1" max="1" width="3.42578125" style="65" customWidth="1"/>
    <col min="2" max="2" width="5.7109375" style="65" customWidth="1"/>
    <col min="3" max="3" width="20.42578125" style="65" customWidth="1"/>
    <col min="4" max="4" width="16.28515625" style="65" customWidth="1"/>
    <col min="5" max="5" width="16.140625" style="65" customWidth="1"/>
    <col min="6" max="6" width="15.28515625" style="65" customWidth="1"/>
    <col min="7" max="7" width="12.85546875" style="65" customWidth="1"/>
    <col min="8" max="8" width="22.85546875" style="65" customWidth="1"/>
    <col min="9" max="9" width="48.5703125" style="65" customWidth="1"/>
    <col min="10" max="10" width="49.42578125" style="65" customWidth="1"/>
    <col min="11" max="16384" width="9.140625" style="65"/>
  </cols>
  <sheetData>
    <row r="2" spans="2:13" ht="15" customHeight="1" x14ac:dyDescent="0.25">
      <c r="C2" s="228" t="s">
        <v>58</v>
      </c>
      <c r="D2" s="228"/>
      <c r="E2" s="228"/>
      <c r="F2" s="228"/>
    </row>
    <row r="3" spans="2:13" ht="15" customHeight="1" x14ac:dyDescent="0.25">
      <c r="B3" s="78"/>
      <c r="C3" s="228"/>
      <c r="D3" s="228"/>
      <c r="E3" s="228"/>
      <c r="F3" s="228"/>
    </row>
    <row r="4" spans="2:13" x14ac:dyDescent="0.25">
      <c r="F4" s="66"/>
    </row>
    <row r="5" spans="2:13" ht="21" customHeight="1" x14ac:dyDescent="0.25">
      <c r="C5" s="229" t="s">
        <v>233</v>
      </c>
      <c r="D5" s="229"/>
      <c r="E5" s="229"/>
      <c r="F5" s="229"/>
    </row>
    <row r="6" spans="2:13" ht="31.5" customHeight="1" x14ac:dyDescent="0.25">
      <c r="B6" s="82" t="s">
        <v>0</v>
      </c>
      <c r="C6" s="64" t="s">
        <v>3</v>
      </c>
      <c r="D6" s="63" t="s">
        <v>47</v>
      </c>
      <c r="E6" s="64" t="str">
        <f>IF(Prisberegner!$E$133="Ja","Varmepumpe","")</f>
        <v>Varmepumpe</v>
      </c>
      <c r="F6" s="83" t="str">
        <f>IF(Prisberegner!$E$158="Ja","Træpillekedel","")</f>
        <v/>
      </c>
      <c r="G6" s="183" t="s">
        <v>284</v>
      </c>
      <c r="I6" s="190" t="s">
        <v>288</v>
      </c>
      <c r="J6" s="191"/>
    </row>
    <row r="7" spans="2:13" x14ac:dyDescent="0.25">
      <c r="B7" s="72">
        <v>1</v>
      </c>
      <c r="C7" s="73">
        <f>IF(B7&lt;Prisberegner!$E$50+1,Prisberegner!$E$47,IF(Prisberegner!$E$52&gt;0,Prisberegner!$E$55,Prisberegner!$E$47))</f>
        <v>27270.480583526984</v>
      </c>
      <c r="D7" s="169">
        <f>Prisberegner!$E$106+IF(B7&gt;Prisberegner!$E$92,-Prisberegner!$E$93,0)+IF(AND(B7&gt;Prisberegner!$E$98,Prisberegner!$E$102&gt;0),-(Prisberegner!$E$99-Prisberegner!$E$103),0)+IF(AND(Prisberegner!$D$82="Ja",'Tabel resultat'!B7&gt;Prisberegner!$E$83),-Prisberegner!$E$82*12,0)-IF(AND(Prisberegner!$E$98=1,B7&gt;1),Prisberegner!$E$99,0)</f>
        <v>18533.47241097828</v>
      </c>
      <c r="E7" s="73">
        <f>IF(Prisberegner!$E$133="Ja",IF(B7&lt;Prisberegner!$E$147+1,Prisberegner!$E$149,IF(Prisberegner!E$152&gt;0,Prisberegner!E$154,Prisberegner!$E$149)),NA())</f>
        <v>19163.127925756431</v>
      </c>
      <c r="F7" s="73" t="e">
        <f>IF(Prisberegner!$E$158="Ja",IF(B7&lt;Prisberegner!$E$174+1,Prisberegner!$E$176,IF(Prisberegner!E$179&gt;0,Prisberegner!E$181,Prisberegner!$E$176)),NA())</f>
        <v>#N/A</v>
      </c>
      <c r="G7" s="182">
        <f>C7-D7</f>
        <v>8737.0081725487034</v>
      </c>
      <c r="I7" s="192"/>
      <c r="J7" s="193"/>
    </row>
    <row r="8" spans="2:13" x14ac:dyDescent="0.25">
      <c r="B8" s="72">
        <v>2</v>
      </c>
      <c r="C8" s="73">
        <f>IF(B8&lt;Prisberegner!$E$50+1,Prisberegner!$E$47,IF(Prisberegner!$E$52&gt;0,Prisberegner!$E$55,Prisberegner!$E$47))</f>
        <v>27270.480583526984</v>
      </c>
      <c r="D8" s="169">
        <f>Prisberegner!$E$106+IF(B8&gt;Prisberegner!$E$92,-Prisberegner!$E$93,0)+IF(AND(B8&gt;Prisberegner!$E$98,Prisberegner!$E$102&gt;0),-(Prisberegner!$E$99-Prisberegner!$E$103),0)+IF(AND(Prisberegner!$D$82="Ja",'Tabel resultat'!B8&gt;Prisberegner!$E$83),-Prisberegner!$E$82*12,0)-IF(AND(Prisberegner!$E$98=1,B8&gt;1),Prisberegner!$E$99,0)</f>
        <v>18533.47241097828</v>
      </c>
      <c r="E8" s="73">
        <f>IF(Prisberegner!$E$133="Ja",IF(B8&lt;Prisberegner!$E$147+1,Prisberegner!$E$149,IF(Prisberegner!E$152&gt;0,Prisberegner!E$154,Prisberegner!$E$149)),NA())</f>
        <v>19163.127925756431</v>
      </c>
      <c r="F8" s="73" t="e">
        <f>IF(Prisberegner!$E$158="Ja",IF(B8&lt;Prisberegner!$E$174+1,Prisberegner!$E$176,IF(Prisberegner!E$179&gt;0,Prisberegner!E$181,Prisberegner!$E$176)),NA())</f>
        <v>#N/A</v>
      </c>
      <c r="G8" s="182">
        <f t="shared" ref="G8:G56" si="0">C8-D8</f>
        <v>8737.0081725487034</v>
      </c>
      <c r="I8" s="194" t="s">
        <v>281</v>
      </c>
      <c r="J8" s="195">
        <f>Prisberegner!E83</f>
        <v>15</v>
      </c>
    </row>
    <row r="9" spans="2:13" x14ac:dyDescent="0.25">
      <c r="B9" s="72">
        <v>3</v>
      </c>
      <c r="C9" s="73">
        <f>IF(B9&lt;Prisberegner!$E$50+1,Prisberegner!$E$47,IF(Prisberegner!$E$52&gt;0,Prisberegner!$E$55,Prisberegner!$E$47))</f>
        <v>27270.480583526984</v>
      </c>
      <c r="D9" s="169">
        <f>Prisberegner!$E$106+IF(B9&gt;Prisberegner!$E$92,-Prisberegner!$E$93,0)+IF(AND(B9&gt;Prisberegner!$E$98,Prisberegner!$E$102&gt;0),-(Prisberegner!$E$99-Prisberegner!$E$103),0)+IF(AND(Prisberegner!$D$82="Ja",'Tabel resultat'!B9&gt;Prisberegner!$E$83),-Prisberegner!$E$82*12,0)-IF(AND(Prisberegner!$E$98=1,B9&gt;1),Prisberegner!$E$99,0)</f>
        <v>18533.47241097828</v>
      </c>
      <c r="E9" s="73">
        <f>IF(Prisberegner!$E$133="Ja",IF(B9&lt;Prisberegner!$E$147+1,Prisberegner!$E$149,IF(Prisberegner!E$152&gt;0,Prisberegner!E$154,Prisberegner!$E$149)),NA())</f>
        <v>19163.127925756431</v>
      </c>
      <c r="F9" s="73" t="e">
        <f>IF(Prisberegner!$E$158="Ja",IF(B9&lt;Prisberegner!$E$174+1,Prisberegner!$E$176,IF(Prisberegner!E$179&gt;0,Prisberegner!E$181,Prisberegner!$E$176)),NA())</f>
        <v>#N/A</v>
      </c>
      <c r="G9" s="182">
        <f t="shared" si="0"/>
        <v>8737.0081725487034</v>
      </c>
      <c r="I9" s="196" t="s">
        <v>227</v>
      </c>
      <c r="J9" s="195">
        <f>Prisberegner!E92</f>
        <v>30</v>
      </c>
    </row>
    <row r="10" spans="2:13" x14ac:dyDescent="0.25">
      <c r="B10" s="72">
        <v>4</v>
      </c>
      <c r="C10" s="73">
        <f>IF(B10&lt;Prisberegner!$E$50+1,Prisberegner!$E$47,IF(Prisberegner!$E$52&gt;0,Prisberegner!$E$55,Prisberegner!$E$47))</f>
        <v>27270.480583526984</v>
      </c>
      <c r="D10" s="169">
        <f>Prisberegner!$E$106+IF(B10&gt;Prisberegner!$E$92,-Prisberegner!$E$93,0)+IF(AND(B10&gt;Prisberegner!$E$98,Prisberegner!$E$102&gt;0),-(Prisberegner!$E$99-Prisberegner!$E$103),0)+IF(AND(Prisberegner!$D$82="Ja",'Tabel resultat'!B10&gt;Prisberegner!$E$83),-Prisberegner!$E$82*12,0)-IF(AND(Prisberegner!$E$98=1,B10&gt;1),Prisberegner!$E$99,0)</f>
        <v>18533.47241097828</v>
      </c>
      <c r="E10" s="73">
        <f>IF(Prisberegner!$E$133="Ja",IF(B10&lt;Prisberegner!$E$147+1,Prisberegner!$E$149,IF(Prisberegner!E$152&gt;0,Prisberegner!E$154,Prisberegner!$E$149)),NA())</f>
        <v>19163.127925756431</v>
      </c>
      <c r="F10" s="73" t="e">
        <f>IF(Prisberegner!$E$158="Ja",IF(B10&lt;Prisberegner!$E$174+1,Prisberegner!$E$176,IF(Prisberegner!E$179&gt;0,Prisberegner!E$181,Prisberegner!$E$176)),NA())</f>
        <v>#N/A</v>
      </c>
      <c r="G10" s="182">
        <f t="shared" si="0"/>
        <v>8737.0081725487034</v>
      </c>
      <c r="I10" s="196" t="s">
        <v>225</v>
      </c>
      <c r="J10" s="195">
        <f>Prisberegner!E98</f>
        <v>20</v>
      </c>
    </row>
    <row r="11" spans="2:13" x14ac:dyDescent="0.25">
      <c r="B11" s="72">
        <v>5</v>
      </c>
      <c r="C11" s="73">
        <f>IF(B11&lt;Prisberegner!$E$50+1,Prisberegner!$E$47,IF(Prisberegner!$E$52&gt;0,Prisberegner!$E$55,Prisberegner!$E$47))</f>
        <v>27270.480583526984</v>
      </c>
      <c r="D11" s="169">
        <f>Prisberegner!$E$106+IF(B11&gt;Prisberegner!$E$92,-Prisberegner!$E$93,0)+IF(AND(B11&gt;Prisberegner!$E$98,Prisberegner!$E$102&gt;0),-(Prisberegner!$E$99-Prisberegner!$E$103),0)+IF(AND(Prisberegner!$D$82="Ja",'Tabel resultat'!B11&gt;Prisberegner!$E$83),-Prisberegner!$E$82*12,0)-IF(AND(Prisberegner!$E$98=1,B11&gt;1),Prisberegner!$E$99,0)</f>
        <v>18533.47241097828</v>
      </c>
      <c r="E11" s="73">
        <f>IF(Prisberegner!$E$133="Ja",IF(B11&lt;Prisberegner!$E$147+1,Prisberegner!$E$149,IF(Prisberegner!E$152&gt;0,Prisberegner!E$154,Prisberegner!$E$149)),NA())</f>
        <v>19163.127925756431</v>
      </c>
      <c r="F11" s="73" t="e">
        <f>IF(Prisberegner!$E$158="Ja",IF(B11&lt;Prisberegner!$E$174+1,Prisberegner!$E$176,IF(Prisberegner!E$179&gt;0,Prisberegner!E$181,Prisberegner!$E$176)),NA())</f>
        <v>#N/A</v>
      </c>
      <c r="G11" s="182">
        <f t="shared" si="0"/>
        <v>8737.0081725487034</v>
      </c>
      <c r="I11" s="196" t="s">
        <v>285</v>
      </c>
      <c r="J11" s="195">
        <f>Prisberegner!E50</f>
        <v>5</v>
      </c>
    </row>
    <row r="12" spans="2:13" x14ac:dyDescent="0.25">
      <c r="B12" s="72">
        <v>6</v>
      </c>
      <c r="C12" s="73">
        <f>IF(B12&lt;Prisberegner!$E$50+1,Prisberegner!$E$47,IF(Prisberegner!$E$52&gt;0,Prisberegner!$E$55,Prisberegner!$E$47))</f>
        <v>28950.873273448462</v>
      </c>
      <c r="D12" s="169">
        <f>Prisberegner!$E$106+IF(B12&gt;Prisberegner!$E$92,-Prisberegner!$E$93,0)+IF(AND(B12&gt;Prisberegner!$E$98,Prisberegner!$E$102&gt;0),-(Prisberegner!$E$99-Prisberegner!$E$103),0)+IF(AND(Prisberegner!$D$82="Ja",'Tabel resultat'!B12&gt;Prisberegner!$E$83),-Prisberegner!$E$82*12,0)-IF(AND(Prisberegner!$E$98=1,B12&gt;1),Prisberegner!$E$99,0)</f>
        <v>18533.47241097828</v>
      </c>
      <c r="E12" s="73">
        <f>IF(Prisberegner!$E$133="Ja",IF(B12&lt;Prisberegner!$E$147+1,Prisberegner!$E$149,IF(Prisberegner!E$152&gt;0,Prisberegner!E$154,Prisberegner!$E$149)),NA())</f>
        <v>19163.127925756431</v>
      </c>
      <c r="F12" s="73" t="e">
        <f>IF(Prisberegner!$E$158="Ja",IF(B12&lt;Prisberegner!$E$174+1,Prisberegner!$E$176,IF(Prisberegner!E$179&gt;0,Prisberegner!E$181,Prisberegner!$E$176)),NA())</f>
        <v>#N/A</v>
      </c>
      <c r="G12" s="182">
        <f t="shared" si="0"/>
        <v>10417.400862470182</v>
      </c>
      <c r="I12" s="192"/>
      <c r="J12" s="193"/>
    </row>
    <row r="13" spans="2:13" x14ac:dyDescent="0.25">
      <c r="B13" s="72">
        <v>7</v>
      </c>
      <c r="C13" s="73">
        <f>IF(B13&lt;Prisberegner!$E$50+1,Prisberegner!$E$47,IF(Prisberegner!$E$52&gt;0,Prisberegner!$E$55,Prisberegner!$E$47))</f>
        <v>28950.873273448462</v>
      </c>
      <c r="D13" s="169">
        <f>Prisberegner!$E$106+IF(B13&gt;Prisberegner!$E$92,-Prisberegner!$E$93,0)+IF(AND(B13&gt;Prisberegner!$E$98,Prisberegner!$E$102&gt;0),-(Prisberegner!$E$99-Prisberegner!$E$103),0)+IF(AND(Prisberegner!$D$82="Ja",'Tabel resultat'!B13&gt;Prisberegner!$E$83),-Prisberegner!$E$82*12,0)-IF(AND(Prisberegner!$E$98=1,B13&gt;1),Prisberegner!$E$99,0)</f>
        <v>18533.47241097828</v>
      </c>
      <c r="E13" s="73">
        <f>IF(Prisberegner!$E$133="Ja",IF(B13&lt;Prisberegner!$E$147+1,Prisberegner!$E$149,IF(Prisberegner!E$152&gt;0,Prisberegner!E$154,Prisberegner!$E$149)),NA())</f>
        <v>19163.127925756431</v>
      </c>
      <c r="F13" s="73" t="e">
        <f>IF(Prisberegner!$E$158="Ja",IF(B13&lt;Prisberegner!$E$174+1,Prisberegner!$E$176,IF(Prisberegner!E$179&gt;0,Prisberegner!E$181,Prisberegner!$E$176)),NA())</f>
        <v>#N/A</v>
      </c>
      <c r="G13" s="182">
        <f t="shared" si="0"/>
        <v>10417.400862470182</v>
      </c>
      <c r="I13" s="192"/>
      <c r="J13" s="193"/>
    </row>
    <row r="14" spans="2:13" x14ac:dyDescent="0.25">
      <c r="B14" s="72">
        <v>8</v>
      </c>
      <c r="C14" s="73">
        <f>IF(B14&lt;Prisberegner!$E$50+1,Prisberegner!$E$47,IF(Prisberegner!$E$52&gt;0,Prisberegner!$E$55,Prisberegner!$E$47))</f>
        <v>28950.873273448462</v>
      </c>
      <c r="D14" s="169">
        <f>Prisberegner!$E$106+IF(B14&gt;Prisberegner!$E$92,-Prisberegner!$E$93,0)+IF(AND(B14&gt;Prisberegner!$E$98,Prisberegner!$E$102&gt;0),-(Prisberegner!$E$99-Prisberegner!$E$103),0)+IF(AND(Prisberegner!$D$82="Ja",'Tabel resultat'!B14&gt;Prisberegner!$E$83),-Prisberegner!$E$82*12,0)-IF(AND(Prisberegner!$E$98=1,B14&gt;1),Prisberegner!$E$99,0)</f>
        <v>18533.47241097828</v>
      </c>
      <c r="E14" s="73">
        <f>IF(Prisberegner!$E$133="Ja",IF(B14&lt;Prisberegner!$E$147+1,Prisberegner!$E$149,IF(Prisberegner!E$152&gt;0,Prisberegner!E$154,Prisberegner!$E$149)),NA())</f>
        <v>19163.127925756431</v>
      </c>
      <c r="F14" s="73" t="e">
        <f>IF(Prisberegner!$E$158="Ja",IF(B14&lt;Prisberegner!$E$174+1,Prisberegner!$E$176,IF(Prisberegner!E$179&gt;0,Prisberegner!E$181,Prisberegner!$E$176)),NA())</f>
        <v>#N/A</v>
      </c>
      <c r="G14" s="182">
        <f t="shared" si="0"/>
        <v>10417.400862470182</v>
      </c>
      <c r="I14" s="192" t="s">
        <v>280</v>
      </c>
      <c r="J14" s="193"/>
      <c r="K14" s="180"/>
      <c r="L14" s="180"/>
      <c r="M14" s="180"/>
    </row>
    <row r="15" spans="2:13" x14ac:dyDescent="0.25">
      <c r="B15" s="72">
        <v>9</v>
      </c>
      <c r="C15" s="73">
        <f>IF(B15&lt;Prisberegner!$E$50+1,Prisberegner!$E$47,IF(Prisberegner!$E$52&gt;0,Prisberegner!$E$55,Prisberegner!$E$47))</f>
        <v>28950.873273448462</v>
      </c>
      <c r="D15" s="169">
        <f>Prisberegner!$E$106+IF(B15&gt;Prisberegner!$E$92,-Prisberegner!$E$93,0)+IF(AND(B15&gt;Prisberegner!$E$98,Prisberegner!$E$102&gt;0),-(Prisberegner!$E$99-Prisberegner!$E$103),0)+IF(AND(Prisberegner!$D$82="Ja",'Tabel resultat'!B15&gt;Prisberegner!$E$83),-Prisberegner!$E$82*12,0)-IF(AND(Prisberegner!$E$98=1,B15&gt;1),Prisberegner!$E$99,0)</f>
        <v>18533.47241097828</v>
      </c>
      <c r="E15" s="73">
        <f>IF(Prisberegner!$E$133="Ja",IF(B15&lt;Prisberegner!$E$147+1,Prisberegner!$E$149,IF(Prisberegner!E$152&gt;0,Prisberegner!E$154,Prisberegner!$E$149)),NA())</f>
        <v>19163.127925756431</v>
      </c>
      <c r="F15" s="73" t="e">
        <f>IF(Prisberegner!$E$158="Ja",IF(B15&lt;Prisberegner!$E$174+1,Prisberegner!$E$176,IF(Prisberegner!E$179&gt;0,Prisberegner!E$181,Prisberegner!$E$176)),NA())</f>
        <v>#N/A</v>
      </c>
      <c r="G15" s="182">
        <f t="shared" si="0"/>
        <v>10417.400862470182</v>
      </c>
      <c r="I15" s="197">
        <f>D7</f>
        <v>18533.47241097828</v>
      </c>
      <c r="J15" s="193" t="s">
        <v>282</v>
      </c>
      <c r="K15" s="180"/>
      <c r="L15" s="180"/>
      <c r="M15" s="180"/>
    </row>
    <row r="16" spans="2:13" x14ac:dyDescent="0.25">
      <c r="B16" s="72">
        <v>10</v>
      </c>
      <c r="C16" s="73">
        <f>IF(B16&lt;Prisberegner!$E$50+1,Prisberegner!$E$47,IF(Prisberegner!$E$52&gt;0,Prisberegner!$E$55,Prisberegner!$E$47))</f>
        <v>28950.873273448462</v>
      </c>
      <c r="D16" s="169">
        <f>Prisberegner!$E$106+IF(B16&gt;Prisberegner!$E$92,-Prisberegner!$E$93,0)+IF(AND(B16&gt;Prisberegner!$E$98,Prisberegner!$E$102&gt;0),-(Prisberegner!$E$99-Prisberegner!$E$103),0)+IF(AND(Prisberegner!$D$82="Ja",'Tabel resultat'!B16&gt;Prisberegner!$E$83),-Prisberegner!$E$82*12,0)-IF(AND(Prisberegner!$E$98=1,B16&gt;1),Prisberegner!$E$99,0)</f>
        <v>18533.47241097828</v>
      </c>
      <c r="E16" s="73">
        <f>IF(Prisberegner!$E$133="Ja",IF(B16&lt;Prisberegner!$E$147+1,Prisberegner!$E$149,IF(Prisberegner!E$152&gt;0,Prisberegner!E$154,Prisberegner!$E$149)),NA())</f>
        <v>19163.127925756431</v>
      </c>
      <c r="F16" s="73" t="e">
        <f>IF(Prisberegner!$E$158="Ja",IF(B16&lt;Prisberegner!$E$174+1,Prisberegner!$E$176,IF(Prisberegner!E$179&gt;0,Prisberegner!E$181,Prisberegner!$E$176)),NA())</f>
        <v>#N/A</v>
      </c>
      <c r="G16" s="182">
        <f t="shared" si="0"/>
        <v>10417.400862470182</v>
      </c>
      <c r="I16" s="197" cm="1">
        <f t="array" aca="1" ref="I16" ca="1">IF(Prisberegner!$D$82="Nej",,INDIRECT(ADDRESS($J$8+7,4)))</f>
        <v>0</v>
      </c>
      <c r="J16" s="193" t="str">
        <f>IF(Prisberegner!$D$82="Nej","","Efter udløb af tillæg om "&amp;Prisberegner!$E$83&amp;" år")</f>
        <v/>
      </c>
      <c r="K16" s="180"/>
      <c r="L16" s="180"/>
      <c r="M16" s="180"/>
    </row>
    <row r="17" spans="2:13" x14ac:dyDescent="0.25">
      <c r="B17" s="72">
        <v>11</v>
      </c>
      <c r="C17" s="73">
        <f>IF(B17&lt;Prisberegner!$E$50+1,Prisberegner!$E$47,IF(Prisberegner!$E$52&gt;0,Prisberegner!$E$55,Prisberegner!$E$47))</f>
        <v>28950.873273448462</v>
      </c>
      <c r="D17" s="169">
        <f>Prisberegner!$E$106+IF(B17&gt;Prisberegner!$E$92,-Prisberegner!$E$93,0)+IF(AND(B17&gt;Prisberegner!$E$98,Prisberegner!$E$102&gt;0),-(Prisberegner!$E$99-Prisberegner!$E$103),0)+IF(AND(Prisberegner!$D$82="Ja",'Tabel resultat'!B17&gt;Prisberegner!$E$83),-Prisberegner!$E$82*12,0)-IF(AND(Prisberegner!$E$98=1,B17&gt;1),Prisberegner!$E$99,0)</f>
        <v>18533.47241097828</v>
      </c>
      <c r="E17" s="73">
        <f>IF(Prisberegner!$E$133="Ja",IF(B17&lt;Prisberegner!$E$147+1,Prisberegner!$E$149,IF(Prisberegner!E$152&gt;0,Prisberegner!E$154,Prisberegner!$E$149)),NA())</f>
        <v>19163.127925756431</v>
      </c>
      <c r="F17" s="73" t="e">
        <f>IF(Prisberegner!$E$158="Ja",IF(B17&lt;Prisberegner!$E$174+1,Prisberegner!$E$176,IF(Prisberegner!E$179&gt;0,Prisberegner!E$181,Prisberegner!$E$176)),NA())</f>
        <v>#N/A</v>
      </c>
      <c r="G17" s="182">
        <f t="shared" si="0"/>
        <v>10417.400862470182</v>
      </c>
      <c r="I17" s="197" cm="1">
        <f t="array" aca="1" ref="I17" ca="1">IF(Prisberegner!$E$92=0,,INDIRECT(ADDRESS($J$9+7,4)))</f>
        <v>15577.598238050487</v>
      </c>
      <c r="J17" s="193" t="str">
        <f>IF(Prisberegner!$E$92=0,"","Efter afskrevne tilslutningsbidrag om " &amp;Prisberegner!$E$92&amp;" år")</f>
        <v>Efter afskrevne tilslutningsbidrag om 30 år</v>
      </c>
      <c r="K17" s="180"/>
      <c r="L17" s="180"/>
      <c r="M17" s="180"/>
    </row>
    <row r="18" spans="2:13" x14ac:dyDescent="0.25">
      <c r="B18" s="72">
        <v>12</v>
      </c>
      <c r="C18" s="73">
        <f>IF(B18&lt;Prisberegner!$E$50+1,Prisberegner!$E$47,IF(Prisberegner!$E$52&gt;0,Prisberegner!$E$55,Prisberegner!$E$47))</f>
        <v>28950.873273448462</v>
      </c>
      <c r="D18" s="169">
        <f>Prisberegner!$E$106+IF(B18&gt;Prisberegner!$E$92,-Prisberegner!$E$93,0)+IF(AND(B18&gt;Prisberegner!$E$98,Prisberegner!$E$102&gt;0),-(Prisberegner!$E$99-Prisberegner!$E$103),0)+IF(AND(Prisberegner!$D$82="Ja",'Tabel resultat'!B18&gt;Prisberegner!$E$83),-Prisberegner!$E$82*12,0)-IF(AND(Prisberegner!$E$98=1,B18&gt;1),Prisberegner!$E$99,0)</f>
        <v>18533.47241097828</v>
      </c>
      <c r="E18" s="73">
        <f>IF(Prisberegner!$E$133="Ja",IF(B18&lt;Prisberegner!$E$147+1,Prisberegner!$E$149,IF(Prisberegner!E$152&gt;0,Prisberegner!E$154,Prisberegner!$E$149)),NA())</f>
        <v>19163.127925756431</v>
      </c>
      <c r="F18" s="73" t="e">
        <f>IF(Prisberegner!$E$158="Ja",IF(B18&lt;Prisberegner!$E$174+1,Prisberegner!$E$176,IF(Prisberegner!E$179&gt;0,Prisberegner!E$181,Prisberegner!$E$176)),NA())</f>
        <v>#N/A</v>
      </c>
      <c r="G18" s="182">
        <f t="shared" si="0"/>
        <v>10417.400862470182</v>
      </c>
      <c r="I18" s="197" cm="1">
        <f t="array" aca="1" ref="I18" ca="1">IF(Prisberegner!$E$98=0,,INDIRECT(ADDRESS($J$10+7,4)))</f>
        <v>16853.079721056802</v>
      </c>
      <c r="J18" s="193" t="str">
        <f>IF(Prisberegner!$E$98=0,"","Efter levetidsforlængelse eller ny unit om "&amp;Prisberegner!$E$98&amp;" år")</f>
        <v>Efter levetidsforlængelse eller ny unit om 20 år</v>
      </c>
    </row>
    <row r="19" spans="2:13" x14ac:dyDescent="0.25">
      <c r="B19" s="72">
        <v>13</v>
      </c>
      <c r="C19" s="73">
        <f>IF(B19&lt;Prisberegner!$E$50+1,Prisberegner!$E$47,IF(Prisberegner!$E$52&gt;0,Prisberegner!$E$55,Prisberegner!$E$47))</f>
        <v>28950.873273448462</v>
      </c>
      <c r="D19" s="169">
        <f>Prisberegner!$E$106+IF(B19&gt;Prisberegner!$E$92,-Prisberegner!$E$93,0)+IF(AND(B19&gt;Prisberegner!$E$98,Prisberegner!$E$102&gt;0),-(Prisberegner!$E$99-Prisberegner!$E$103),0)+IF(AND(Prisberegner!$D$82="Ja",'Tabel resultat'!B19&gt;Prisberegner!$E$83),-Prisberegner!$E$82*12,0)-IF(AND(Prisberegner!$E$98=1,B19&gt;1),Prisberegner!$E$99,0)</f>
        <v>18533.47241097828</v>
      </c>
      <c r="E19" s="73">
        <f>IF(Prisberegner!$E$133="Ja",IF(B19&lt;Prisberegner!$E$147+1,Prisberegner!$E$149,IF(Prisberegner!E$152&gt;0,Prisberegner!E$154,Prisberegner!$E$149)),NA())</f>
        <v>19163.127925756431</v>
      </c>
      <c r="F19" s="73" t="e">
        <f>IF(Prisberegner!$E$158="Ja",IF(B19&lt;Prisberegner!$E$174+1,Prisberegner!$E$176,IF(Prisberegner!E$179&gt;0,Prisberegner!E$181,Prisberegner!$E$176)),NA())</f>
        <v>#N/A</v>
      </c>
      <c r="G19" s="182">
        <f t="shared" si="0"/>
        <v>10417.400862470182</v>
      </c>
      <c r="I19" s="192"/>
      <c r="J19" s="193"/>
    </row>
    <row r="20" spans="2:13" x14ac:dyDescent="0.25">
      <c r="B20" s="72">
        <v>14</v>
      </c>
      <c r="C20" s="73">
        <f>IF(B20&lt;Prisberegner!$E$50+1,Prisberegner!$E$47,IF(Prisberegner!$E$52&gt;0,Prisberegner!$E$55,Prisberegner!$E$47))</f>
        <v>28950.873273448462</v>
      </c>
      <c r="D20" s="169">
        <f>Prisberegner!$E$106+IF(B20&gt;Prisberegner!$E$92,-Prisberegner!$E$93,0)+IF(AND(B20&gt;Prisberegner!$E$98,Prisberegner!$E$102&gt;0),-(Prisberegner!$E$99-Prisberegner!$E$103),0)+IF(AND(Prisberegner!$D$82="Ja",'Tabel resultat'!B20&gt;Prisberegner!$E$83),-Prisberegner!$E$82*12,0)-IF(AND(Prisberegner!$E$98=1,B20&gt;1),Prisberegner!$E$99,0)</f>
        <v>18533.47241097828</v>
      </c>
      <c r="E20" s="73">
        <f>IF(Prisberegner!$E$133="Ja",IF(B20&lt;Prisberegner!$E$147+1,Prisberegner!$E$149,IF(Prisberegner!E$152&gt;0,Prisberegner!E$154,Prisberegner!$E$149)),NA())</f>
        <v>19163.127925756431</v>
      </c>
      <c r="F20" s="73" t="e">
        <f>IF(Prisberegner!$E$158="Ja",IF(B20&lt;Prisberegner!$E$174+1,Prisberegner!$E$176,IF(Prisberegner!E$179&gt;0,Prisberegner!E$181,Prisberegner!$E$176)),NA())</f>
        <v>#N/A</v>
      </c>
      <c r="G20" s="182">
        <f t="shared" si="0"/>
        <v>10417.400862470182</v>
      </c>
      <c r="I20" s="198">
        <f>I15</f>
        <v>18533.47241097828</v>
      </c>
      <c r="J20" s="199" t="str">
        <f>J15</f>
        <v>Ved tilslutning (år 1)</v>
      </c>
    </row>
    <row r="21" spans="2:13" x14ac:dyDescent="0.25">
      <c r="B21" s="72">
        <v>15</v>
      </c>
      <c r="C21" s="73">
        <f>IF(B21&lt;Prisberegner!$E$50+1,Prisberegner!$E$47,IF(Prisberegner!$E$52&gt;0,Prisberegner!$E$55,Prisberegner!$E$47))</f>
        <v>28950.873273448462</v>
      </c>
      <c r="D21" s="169">
        <f>Prisberegner!$E$106+IF(B21&gt;Prisberegner!$E$92,-Prisberegner!$E$93,0)+IF(AND(B21&gt;Prisberegner!$E$98,Prisberegner!$E$102&gt;0),-(Prisberegner!$E$99-Prisberegner!$E$103),0)+IF(AND(Prisberegner!$D$82="Ja",'Tabel resultat'!B21&gt;Prisberegner!$E$83),-Prisberegner!$E$82*12,0)-IF(AND(Prisberegner!$E$98=1,B21&gt;1),Prisberegner!$E$99,0)</f>
        <v>18533.47241097828</v>
      </c>
      <c r="E21" s="73">
        <f>IF(Prisberegner!$E$133="Ja",IF(B21&lt;Prisberegner!$E$147+1,Prisberegner!$E$149,IF(Prisberegner!E$152&gt;0,Prisberegner!E$154,Prisberegner!$E$149)),NA())</f>
        <v>19163.127925756431</v>
      </c>
      <c r="F21" s="73" t="e">
        <f>IF(Prisberegner!$E$158="Ja",IF(B21&lt;Prisberegner!$E$174+1,Prisberegner!$E$176,IF(Prisberegner!E$179&gt;0,Prisberegner!E$181,Prisberegner!$E$176)),NA())</f>
        <v>#N/A</v>
      </c>
      <c r="G21" s="182">
        <f t="shared" si="0"/>
        <v>10417.400862470182</v>
      </c>
      <c r="I21" s="198" t="e" cm="1" vm="2">
        <f t="array" aca="1" ref="I21:J23" ca="1">_xlfn._xlws.SORT(I16:J18,1,-1)</f>
        <v>#NAME?</v>
      </c>
      <c r="J21" s="199" t="e" vm="2">
        <f ca="1"/>
        <v>#NAME?</v>
      </c>
    </row>
    <row r="22" spans="2:13" x14ac:dyDescent="0.25">
      <c r="B22" s="72">
        <v>16</v>
      </c>
      <c r="C22" s="73">
        <f>IF(B22&lt;Prisberegner!$E$50+1,Prisberegner!$E$47,IF(Prisberegner!$E$52&gt;0,Prisberegner!$E$55,Prisberegner!$E$47))</f>
        <v>28950.873273448462</v>
      </c>
      <c r="D22" s="169">
        <f>Prisberegner!$E$106+IF(B22&gt;Prisberegner!$E$92,-Prisberegner!$E$93,0)+IF(AND(B22&gt;Prisberegner!$E$98,Prisberegner!$E$102&gt;0),-(Prisberegner!$E$99-Prisberegner!$E$103),0)+IF(AND(Prisberegner!$D$82="Ja",'Tabel resultat'!B22&gt;Prisberegner!$E$83),-Prisberegner!$E$82*12,0)-IF(AND(Prisberegner!$E$98=1,B22&gt;1),Prisberegner!$E$99,0)</f>
        <v>18533.47241097828</v>
      </c>
      <c r="E22" s="73">
        <f>IF(Prisberegner!$E$133="Ja",IF(B22&lt;Prisberegner!$E$147+1,Prisberegner!$E$149,IF(Prisberegner!E$152&gt;0,Prisberegner!E$154,Prisberegner!$E$149)),NA())</f>
        <v>16233.957711643825</v>
      </c>
      <c r="F22" s="73" t="e">
        <f>IF(Prisberegner!$E$158="Ja",IF(B22&lt;Prisberegner!$E$174+1,Prisberegner!$E$176,IF(Prisberegner!E$179&gt;0,Prisberegner!E$181,Prisberegner!$E$176)),NA())</f>
        <v>#N/A</v>
      </c>
      <c r="G22" s="182">
        <f t="shared" si="0"/>
        <v>10417.400862470182</v>
      </c>
      <c r="I22" s="198" t="e" vm="2">
        <f ca="1"/>
        <v>#NAME?</v>
      </c>
      <c r="J22" s="199" t="e" vm="2">
        <f ca="1"/>
        <v>#NAME?</v>
      </c>
    </row>
    <row r="23" spans="2:13" x14ac:dyDescent="0.25">
      <c r="B23" s="72">
        <v>17</v>
      </c>
      <c r="C23" s="73">
        <f>IF(B23&lt;Prisberegner!$E$50+1,Prisberegner!$E$47,IF(Prisberegner!$E$52&gt;0,Prisberegner!$E$55,Prisberegner!$E$47))</f>
        <v>28950.873273448462</v>
      </c>
      <c r="D23" s="169">
        <f>Prisberegner!$E$106+IF(B23&gt;Prisberegner!$E$92,-Prisberegner!$E$93,0)+IF(AND(B23&gt;Prisberegner!$E$98,Prisberegner!$E$102&gt;0),-(Prisberegner!$E$99-Prisberegner!$E$103),0)+IF(AND(Prisberegner!$D$82="Ja",'Tabel resultat'!B23&gt;Prisberegner!$E$83),-Prisberegner!$E$82*12,0)-IF(AND(Prisberegner!$E$98=1,B23&gt;1),Prisberegner!$E$99,0)</f>
        <v>18533.47241097828</v>
      </c>
      <c r="E23" s="73">
        <f>IF(Prisberegner!$E$133="Ja",IF(B23&lt;Prisberegner!$E$147+1,Prisberegner!$E$149,IF(Prisberegner!E$152&gt;0,Prisberegner!E$154,Prisberegner!$E$149)),NA())</f>
        <v>16233.957711643825</v>
      </c>
      <c r="F23" s="73" t="e">
        <f>IF(Prisberegner!$E$158="Ja",IF(B23&lt;Prisberegner!$E$174+1,Prisberegner!$E$176,IF(Prisberegner!E$179&gt;0,Prisberegner!E$181,Prisberegner!$E$176)),NA())</f>
        <v>#N/A</v>
      </c>
      <c r="G23" s="182">
        <f t="shared" si="0"/>
        <v>10417.400862470182</v>
      </c>
      <c r="I23" s="198" t="e" vm="2">
        <f ca="1"/>
        <v>#NAME?</v>
      </c>
      <c r="J23" s="199" t="e" vm="2">
        <f ca="1"/>
        <v>#NAME?</v>
      </c>
    </row>
    <row r="24" spans="2:13" x14ac:dyDescent="0.25">
      <c r="B24" s="72">
        <v>18</v>
      </c>
      <c r="C24" s="73">
        <f>IF(B24&lt;Prisberegner!$E$50+1,Prisberegner!$E$47,IF(Prisberegner!$E$52&gt;0,Prisberegner!$E$55,Prisberegner!$E$47))</f>
        <v>28950.873273448462</v>
      </c>
      <c r="D24" s="169">
        <f>Prisberegner!$E$106+IF(B24&gt;Prisberegner!$E$92,-Prisberegner!$E$93,0)+IF(AND(B24&gt;Prisberegner!$E$98,Prisberegner!$E$102&gt;0),-(Prisberegner!$E$99-Prisberegner!$E$103),0)+IF(AND(Prisberegner!$D$82="Ja",'Tabel resultat'!B24&gt;Prisberegner!$E$83),-Prisberegner!$E$82*12,0)-IF(AND(Prisberegner!$E$98=1,B24&gt;1),Prisberegner!$E$99,0)</f>
        <v>18533.47241097828</v>
      </c>
      <c r="E24" s="73">
        <f>IF(Prisberegner!$E$133="Ja",IF(B24&lt;Prisberegner!$E$147+1,Prisberegner!$E$149,IF(Prisberegner!E$152&gt;0,Prisberegner!E$154,Prisberegner!$E$149)),NA())</f>
        <v>16233.957711643825</v>
      </c>
      <c r="F24" s="73" t="e">
        <f>IF(Prisberegner!$E$158="Ja",IF(B24&lt;Prisberegner!$E$174+1,Prisberegner!$E$176,IF(Prisberegner!E$179&gt;0,Prisberegner!E$181,Prisberegner!$E$176)),NA())</f>
        <v>#N/A</v>
      </c>
      <c r="G24" s="182">
        <f t="shared" si="0"/>
        <v>10417.400862470182</v>
      </c>
      <c r="I24" s="198"/>
      <c r="J24" s="200"/>
    </row>
    <row r="25" spans="2:13" x14ac:dyDescent="0.25">
      <c r="B25" s="72">
        <v>19</v>
      </c>
      <c r="C25" s="73">
        <f>IF(B25&lt;Prisberegner!$E$50+1,Prisberegner!$E$47,IF(Prisberegner!$E$52&gt;0,Prisberegner!$E$55,Prisberegner!$E$47))</f>
        <v>28950.873273448462</v>
      </c>
      <c r="D25" s="169">
        <f>Prisberegner!$E$106+IF(B25&gt;Prisberegner!$E$92,-Prisberegner!$E$93,0)+IF(AND(B25&gt;Prisberegner!$E$98,Prisberegner!$E$102&gt;0),-(Prisberegner!$E$99-Prisberegner!$E$103),0)+IF(AND(Prisberegner!$D$82="Ja",'Tabel resultat'!B25&gt;Prisberegner!$E$83),-Prisberegner!$E$82*12,0)-IF(AND(Prisberegner!$E$98=1,B25&gt;1),Prisberegner!$E$99,0)</f>
        <v>18533.47241097828</v>
      </c>
      <c r="E25" s="73">
        <f>IF(Prisberegner!$E$133="Ja",IF(B25&lt;Prisberegner!$E$147+1,Prisberegner!$E$149,IF(Prisberegner!E$152&gt;0,Prisberegner!E$154,Prisberegner!$E$149)),NA())</f>
        <v>16233.957711643825</v>
      </c>
      <c r="F25" s="73" t="e">
        <f>IF(Prisberegner!$E$158="Ja",IF(B25&lt;Prisberegner!$E$174+1,Prisberegner!$E$176,IF(Prisberegner!E$179&gt;0,Prisberegner!E$181,Prisberegner!$E$176)),NA())</f>
        <v>#N/A</v>
      </c>
      <c r="G25" s="182">
        <f t="shared" si="0"/>
        <v>10417.400862470182</v>
      </c>
      <c r="I25" s="192"/>
      <c r="J25" s="193"/>
    </row>
    <row r="26" spans="2:13" x14ac:dyDescent="0.25">
      <c r="B26" s="72">
        <v>20</v>
      </c>
      <c r="C26" s="73">
        <f>IF(B26&lt;Prisberegner!$E$50+1,Prisberegner!$E$47,IF(Prisberegner!$E$52&gt;0,Prisberegner!$E$55,Prisberegner!$E$47))</f>
        <v>28950.873273448462</v>
      </c>
      <c r="D26" s="169">
        <f>Prisberegner!$E$106+IF(B26&gt;Prisberegner!$E$92,-Prisberegner!$E$93,0)+IF(AND(B26&gt;Prisberegner!$E$98,Prisberegner!$E$102&gt;0),-(Prisberegner!$E$99-Prisberegner!$E$103),0)+IF(AND(Prisberegner!$D$82="Ja",'Tabel resultat'!B26&gt;Prisberegner!$E$83),-Prisberegner!$E$82*12,0)-IF(AND(Prisberegner!$E$98=1,B26&gt;1),Prisberegner!$E$99,0)</f>
        <v>18533.47241097828</v>
      </c>
      <c r="E26" s="73">
        <f>IF(Prisberegner!$E$133="Ja",IF(B26&lt;Prisberegner!$E$147+1,Prisberegner!$E$149,IF(Prisberegner!E$152&gt;0,Prisberegner!E$154,Prisberegner!$E$149)),NA())</f>
        <v>16233.957711643825</v>
      </c>
      <c r="F26" s="73" t="e">
        <f>IF(Prisberegner!$E$158="Ja",IF(B26&lt;Prisberegner!$E$174+1,Prisberegner!$E$176,IF(Prisberegner!E$179&gt;0,Prisberegner!E$181,Prisberegner!$E$176)),NA())</f>
        <v>#N/A</v>
      </c>
      <c r="G26" s="182">
        <f t="shared" si="0"/>
        <v>10417.400862470182</v>
      </c>
      <c r="I26" s="192"/>
      <c r="J26" s="193"/>
    </row>
    <row r="27" spans="2:13" x14ac:dyDescent="0.25">
      <c r="B27" s="72">
        <v>21</v>
      </c>
      <c r="C27" s="73">
        <f>IF(B27&lt;Prisberegner!$E$50+1,Prisberegner!$E$47,IF(Prisberegner!$E$52&gt;0,Prisberegner!$E$55,Prisberegner!$E$47))</f>
        <v>28950.873273448462</v>
      </c>
      <c r="D27" s="169">
        <f>Prisberegner!$E$106+IF(B27&gt;Prisberegner!$E$92,-Prisberegner!$E$93,0)+IF(AND(B27&gt;Prisberegner!$E$98,Prisberegner!$E$102&gt;0),-(Prisberegner!$E$99-Prisberegner!$E$103),0)+IF(AND(Prisberegner!$D$82="Ja",'Tabel resultat'!B27&gt;Prisberegner!$E$83),-Prisberegner!$E$82*12,0)-IF(AND(Prisberegner!$E$98=1,B27&gt;1),Prisberegner!$E$99,0)</f>
        <v>16853.079721056802</v>
      </c>
      <c r="E27" s="73">
        <f>IF(Prisberegner!$E$133="Ja",IF(B27&lt;Prisberegner!$E$147+1,Prisberegner!$E$149,IF(Prisberegner!E$152&gt;0,Prisberegner!E$154,Prisberegner!$E$149)),NA())</f>
        <v>16233.957711643825</v>
      </c>
      <c r="F27" s="73" t="e">
        <f>IF(Prisberegner!$E$158="Ja",IF(B27&lt;Prisberegner!$E$174+1,Prisberegner!$E$176,IF(Prisberegner!E$179&gt;0,Prisberegner!E$181,Prisberegner!$E$176)),NA())</f>
        <v>#N/A</v>
      </c>
      <c r="G27" s="182">
        <f t="shared" si="0"/>
        <v>12097.79355239166</v>
      </c>
      <c r="I27" s="192" t="s">
        <v>283</v>
      </c>
      <c r="J27" s="193"/>
    </row>
    <row r="28" spans="2:13" x14ac:dyDescent="0.25">
      <c r="B28" s="72">
        <v>22</v>
      </c>
      <c r="C28" s="73">
        <f>IF(B28&lt;Prisberegner!$E$50+1,Prisberegner!$E$47,IF(Prisberegner!$E$52&gt;0,Prisberegner!$E$55,Prisberegner!$E$47))</f>
        <v>28950.873273448462</v>
      </c>
      <c r="D28" s="169">
        <f>Prisberegner!$E$106+IF(B28&gt;Prisberegner!$E$92,-Prisberegner!$E$93,0)+IF(AND(B28&gt;Prisberegner!$E$98,Prisberegner!$E$102&gt;0),-(Prisberegner!$E$99-Prisberegner!$E$103),0)+IF(AND(Prisberegner!$D$82="Ja",'Tabel resultat'!B28&gt;Prisberegner!$E$83),-Prisberegner!$E$82*12,0)-IF(AND(Prisberegner!$E$98=1,B28&gt;1),Prisberegner!$E$99,0)</f>
        <v>16853.079721056802</v>
      </c>
      <c r="E28" s="73">
        <f>IF(Prisberegner!$E$133="Ja",IF(B28&lt;Prisberegner!$E$147+1,Prisberegner!$E$149,IF(Prisberegner!E$152&gt;0,Prisberegner!E$154,Prisberegner!$E$149)),NA())</f>
        <v>16233.957711643825</v>
      </c>
      <c r="F28" s="73" t="e">
        <f>IF(Prisberegner!$E$158="Ja",IF(B28&lt;Prisberegner!$E$174+1,Prisberegner!$E$176,IF(Prisberegner!E$179&gt;0,Prisberegner!E$181,Prisberegner!$E$176)),NA())</f>
        <v>#N/A</v>
      </c>
      <c r="G28" s="182">
        <f t="shared" si="0"/>
        <v>12097.79355239166</v>
      </c>
      <c r="I28" s="197">
        <f>C7-D7</f>
        <v>8737.0081725487034</v>
      </c>
      <c r="J28" s="193" t="s">
        <v>282</v>
      </c>
    </row>
    <row r="29" spans="2:13" x14ac:dyDescent="0.25">
      <c r="B29" s="72">
        <v>23</v>
      </c>
      <c r="C29" s="73">
        <f>IF(B29&lt;Prisberegner!$E$50+1,Prisberegner!$E$47,IF(Prisberegner!$E$52&gt;0,Prisberegner!$E$55,Prisberegner!$E$47))</f>
        <v>28950.873273448462</v>
      </c>
      <c r="D29" s="169">
        <f>Prisberegner!$E$106+IF(B29&gt;Prisberegner!$E$92,-Prisberegner!$E$93,0)+IF(AND(B29&gt;Prisberegner!$E$98,Prisberegner!$E$102&gt;0),-(Prisberegner!$E$99-Prisberegner!$E$103),0)+IF(AND(Prisberegner!$D$82="Ja",'Tabel resultat'!B29&gt;Prisberegner!$E$83),-Prisberegner!$E$82*12,0)-IF(AND(Prisberegner!$E$98=1,B29&gt;1),Prisberegner!$E$99,0)</f>
        <v>16853.079721056802</v>
      </c>
      <c r="E29" s="73">
        <f>IF(Prisberegner!$E$133="Ja",IF(B29&lt;Prisberegner!$E$147+1,Prisberegner!$E$149,IF(Prisberegner!E$152&gt;0,Prisberegner!E$154,Prisberegner!$E$149)),NA())</f>
        <v>16233.957711643825</v>
      </c>
      <c r="F29" s="73" t="e">
        <f>IF(Prisberegner!$E$158="Ja",IF(B29&lt;Prisberegner!$E$174+1,Prisberegner!$E$176,IF(Prisberegner!E$179&gt;0,Prisberegner!E$181,Prisberegner!$E$176)),NA())</f>
        <v>#N/A</v>
      </c>
      <c r="G29" s="182">
        <f t="shared" si="0"/>
        <v>12097.79355239166</v>
      </c>
      <c r="I29" s="197" cm="1">
        <f t="array" aca="1" ref="I29" ca="1">INDIRECT(ADDRESS($J$11+7,3))-INDIRECT(ADDRESS($J$11+7,4))</f>
        <v>10417.400862470182</v>
      </c>
      <c r="J29" s="193" t="str">
        <f>"Efter investering i ny gaskedel om "&amp;Prisberegner!$E$50&amp;" år"</f>
        <v>Efter investering i ny gaskedel om 5 år</v>
      </c>
    </row>
    <row r="30" spans="2:13" x14ac:dyDescent="0.25">
      <c r="B30" s="72">
        <v>24</v>
      </c>
      <c r="C30" s="73">
        <f>IF(B30&lt;Prisberegner!$E$50+1,Prisberegner!$E$47,IF(Prisberegner!$E$52&gt;0,Prisberegner!$E$55,Prisberegner!$E$47))</f>
        <v>28950.873273448462</v>
      </c>
      <c r="D30" s="169">
        <f>Prisberegner!$E$106+IF(B30&gt;Prisberegner!$E$92,-Prisberegner!$E$93,0)+IF(AND(B30&gt;Prisberegner!$E$98,Prisberegner!$E$102&gt;0),-(Prisberegner!$E$99-Prisberegner!$E$103),0)+IF(AND(Prisberegner!$D$82="Ja",'Tabel resultat'!B30&gt;Prisberegner!$E$83),-Prisberegner!$E$82*12,0)-IF(AND(Prisberegner!$E$98=1,B30&gt;1),Prisberegner!$E$99,0)</f>
        <v>16853.079721056802</v>
      </c>
      <c r="E30" s="73">
        <f>IF(Prisberegner!$E$133="Ja",IF(B30&lt;Prisberegner!$E$147+1,Prisberegner!$E$149,IF(Prisberegner!E$152&gt;0,Prisberegner!E$154,Prisberegner!$E$149)),NA())</f>
        <v>16233.957711643825</v>
      </c>
      <c r="F30" s="73" t="e">
        <f>IF(Prisberegner!$E$158="Ja",IF(B30&lt;Prisberegner!$E$174+1,Prisberegner!$E$176,IF(Prisberegner!E$179&gt;0,Prisberegner!E$181,Prisberegner!$E$176)),NA())</f>
        <v>#N/A</v>
      </c>
      <c r="G30" s="182">
        <f t="shared" si="0"/>
        <v>12097.79355239166</v>
      </c>
      <c r="I30" s="197" t="str" cm="1">
        <f t="array" aca="1" ref="I30" ca="1">IF(Prisberegner!$D$82="Nej","",INDIRECT(ADDRESS($J$8+7,3))-INDIRECT(ADDRESS($J$8+7,4)))</f>
        <v/>
      </c>
      <c r="J30" s="193" t="str">
        <f>IF(Prisberegner!$D$82="Nej","","Efter udløb af tillæg om "&amp;Prisberegner!$E$83&amp;" år")</f>
        <v/>
      </c>
    </row>
    <row r="31" spans="2:13" x14ac:dyDescent="0.25">
      <c r="B31" s="72">
        <v>25</v>
      </c>
      <c r="C31" s="73">
        <f>IF(B31&lt;Prisberegner!$E$50+1,Prisberegner!$E$47,IF(Prisberegner!$E$52&gt;0,Prisberegner!$E$55,Prisberegner!$E$47))</f>
        <v>28950.873273448462</v>
      </c>
      <c r="D31" s="169">
        <f>Prisberegner!$E$106+IF(B31&gt;Prisberegner!$E$92,-Prisberegner!$E$93,0)+IF(AND(B31&gt;Prisberegner!$E$98,Prisberegner!$E$102&gt;0),-(Prisberegner!$E$99-Prisberegner!$E$103),0)+IF(AND(Prisberegner!$D$82="Ja",'Tabel resultat'!B31&gt;Prisberegner!$E$83),-Prisberegner!$E$82*12,0)-IF(AND(Prisberegner!$E$98=1,B31&gt;1),Prisberegner!$E$99,0)</f>
        <v>16853.079721056802</v>
      </c>
      <c r="E31" s="73">
        <f>IF(Prisberegner!$E$133="Ja",IF(B31&lt;Prisberegner!$E$147+1,Prisberegner!$E$149,IF(Prisberegner!E$152&gt;0,Prisberegner!E$154,Prisberegner!$E$149)),NA())</f>
        <v>16233.957711643825</v>
      </c>
      <c r="F31" s="73" t="e">
        <f>IF(Prisberegner!$E$158="Ja",IF(B31&lt;Prisberegner!$E$174+1,Prisberegner!$E$176,IF(Prisberegner!E$179&gt;0,Prisberegner!E$181,Prisberegner!$E$176)),NA())</f>
        <v>#N/A</v>
      </c>
      <c r="G31" s="182">
        <f t="shared" si="0"/>
        <v>12097.79355239166</v>
      </c>
      <c r="I31" s="197" cm="1">
        <f t="array" aca="1" ref="I31" ca="1">IF(Prisberegner!$E$92=0,"",INDIRECT(ADDRESS($J$9+7,3))-INDIRECT(ADDRESS($J$9+7,4)))</f>
        <v>13373.275035397975</v>
      </c>
      <c r="J31" s="193" t="str">
        <f>IF(Prisberegner!$E$92=0,"","Efter afskrevne tilslutningsbidrag om " &amp;Prisberegner!$E$92&amp;" år")</f>
        <v>Efter afskrevne tilslutningsbidrag om 30 år</v>
      </c>
    </row>
    <row r="32" spans="2:13" x14ac:dyDescent="0.25">
      <c r="B32" s="72">
        <v>26</v>
      </c>
      <c r="C32" s="73">
        <f>IF(B32&lt;Prisberegner!$E$50+1,Prisberegner!$E$47,IF(Prisberegner!$E$52&gt;0,Prisberegner!$E$55,Prisberegner!$E$47))</f>
        <v>28950.873273448462</v>
      </c>
      <c r="D32" s="169">
        <f>Prisberegner!$E$106+IF(B32&gt;Prisberegner!$E$92,-Prisberegner!$E$93,0)+IF(AND(B32&gt;Prisberegner!$E$98,Prisberegner!$E$102&gt;0),-(Prisberegner!$E$99-Prisberegner!$E$103),0)+IF(AND(Prisberegner!$D$82="Ja",'Tabel resultat'!B32&gt;Prisberegner!$E$83),-Prisberegner!$E$82*12,0)-IF(AND(Prisberegner!$E$98=1,B32&gt;1),Prisberegner!$E$99,0)</f>
        <v>16853.079721056802</v>
      </c>
      <c r="E32" s="73">
        <f>IF(Prisberegner!$E$133="Ja",IF(B32&lt;Prisberegner!$E$147+1,Prisberegner!$E$149,IF(Prisberegner!E$152&gt;0,Prisberegner!E$154,Prisberegner!$E$149)),NA())</f>
        <v>16233.957711643825</v>
      </c>
      <c r="F32" s="73" t="e">
        <f>IF(Prisberegner!$E$158="Ja",IF(B32&lt;Prisberegner!$E$174+1,Prisberegner!$E$176,IF(Prisberegner!E$179&gt;0,Prisberegner!E$181,Prisberegner!$E$176)),NA())</f>
        <v>#N/A</v>
      </c>
      <c r="G32" s="182">
        <f t="shared" si="0"/>
        <v>12097.79355239166</v>
      </c>
      <c r="I32" s="197" cm="1">
        <f t="array" aca="1" ref="I32" ca="1">IF(Prisberegner!$E$98=0,"",INDIRECT(ADDRESS($J$10+7,3))-INDIRECT(ADDRESS($J$10+7,4)))</f>
        <v>12097.79355239166</v>
      </c>
      <c r="J32" s="193" t="str">
        <f>IF(Prisberegner!$E$98=0,"","Efter levetidsforlængelse eller ny unit om "&amp;Prisberegner!$E$98&amp;" år")</f>
        <v>Efter levetidsforlængelse eller ny unit om 20 år</v>
      </c>
    </row>
    <row r="33" spans="2:10" x14ac:dyDescent="0.25">
      <c r="B33" s="72">
        <v>27</v>
      </c>
      <c r="C33" s="73">
        <f>IF(B33&lt;Prisberegner!$E$50+1,Prisberegner!$E$47,IF(Prisberegner!$E$52&gt;0,Prisberegner!$E$55,Prisberegner!$E$47))</f>
        <v>28950.873273448462</v>
      </c>
      <c r="D33" s="169">
        <f>Prisberegner!$E$106+IF(B33&gt;Prisberegner!$E$92,-Prisberegner!$E$93,0)+IF(AND(B33&gt;Prisberegner!$E$98,Prisberegner!$E$102&gt;0),-(Prisberegner!$E$99-Prisberegner!$E$103),0)+IF(AND(Prisberegner!$D$82="Ja",'Tabel resultat'!B33&gt;Prisberegner!$E$83),-Prisberegner!$E$82*12,0)-IF(AND(Prisberegner!$E$98=1,B33&gt;1),Prisberegner!$E$99,0)</f>
        <v>16853.079721056802</v>
      </c>
      <c r="E33" s="73">
        <f>IF(Prisberegner!$E$133="Ja",IF(B33&lt;Prisberegner!$E$147+1,Prisberegner!$E$149,IF(Prisberegner!E$152&gt;0,Prisberegner!E$154,Prisberegner!$E$149)),NA())</f>
        <v>16233.957711643825</v>
      </c>
      <c r="F33" s="73" t="e">
        <f>IF(Prisberegner!$E$158="Ja",IF(B33&lt;Prisberegner!$E$174+1,Prisberegner!$E$176,IF(Prisberegner!E$179&gt;0,Prisberegner!E$181,Prisberegner!$E$176)),NA())</f>
        <v>#N/A</v>
      </c>
      <c r="G33" s="182">
        <f t="shared" si="0"/>
        <v>12097.79355239166</v>
      </c>
      <c r="I33" s="192"/>
      <c r="J33" s="193"/>
    </row>
    <row r="34" spans="2:10" x14ac:dyDescent="0.25">
      <c r="B34" s="72">
        <v>28</v>
      </c>
      <c r="C34" s="73">
        <f>IF(B34&lt;Prisberegner!$E$50+1,Prisberegner!$E$47,IF(Prisberegner!$E$52&gt;0,Prisberegner!$E$55,Prisberegner!$E$47))</f>
        <v>28950.873273448462</v>
      </c>
      <c r="D34" s="169">
        <f>Prisberegner!$E$106+IF(B34&gt;Prisberegner!$E$92,-Prisberegner!$E$93,0)+IF(AND(B34&gt;Prisberegner!$E$98,Prisberegner!$E$102&gt;0),-(Prisberegner!$E$99-Prisberegner!$E$103),0)+IF(AND(Prisberegner!$D$82="Ja",'Tabel resultat'!B34&gt;Prisberegner!$E$83),-Prisberegner!$E$82*12,0)-IF(AND(Prisberegner!$E$98=1,B34&gt;1),Prisberegner!$E$99,0)</f>
        <v>16853.079721056802</v>
      </c>
      <c r="E34" s="73">
        <f>IF(Prisberegner!$E$133="Ja",IF(B34&lt;Prisberegner!$E$147+1,Prisberegner!$E$149,IF(Prisberegner!E$152&gt;0,Prisberegner!E$154,Prisberegner!$E$149)),NA())</f>
        <v>16233.957711643825</v>
      </c>
      <c r="F34" s="73" t="e">
        <f>IF(Prisberegner!$E$158="Ja",IF(B34&lt;Prisberegner!$E$174+1,Prisberegner!$E$176,IF(Prisberegner!E$179&gt;0,Prisberegner!E$181,Prisberegner!$E$176)),NA())</f>
        <v>#N/A</v>
      </c>
      <c r="G34" s="182">
        <f t="shared" si="0"/>
        <v>12097.79355239166</v>
      </c>
      <c r="I34" s="198">
        <f>I28</f>
        <v>8737.0081725487034</v>
      </c>
      <c r="J34" s="199" t="str">
        <f>J28</f>
        <v>Ved tilslutning (år 1)</v>
      </c>
    </row>
    <row r="35" spans="2:10" x14ac:dyDescent="0.25">
      <c r="B35" s="72">
        <v>29</v>
      </c>
      <c r="C35" s="73">
        <f>IF(B35&lt;Prisberegner!$E$50+1,Prisberegner!$E$47,IF(Prisberegner!$E$52&gt;0,Prisberegner!$E$55,Prisberegner!$E$47))</f>
        <v>28950.873273448462</v>
      </c>
      <c r="D35" s="169">
        <f>Prisberegner!$E$106+IF(B35&gt;Prisberegner!$E$92,-Prisberegner!$E$93,0)+IF(AND(B35&gt;Prisberegner!$E$98,Prisberegner!$E$102&gt;0),-(Prisberegner!$E$99-Prisberegner!$E$103),0)+IF(AND(Prisberegner!$D$82="Ja",'Tabel resultat'!B35&gt;Prisberegner!$E$83),-Prisberegner!$E$82*12,0)-IF(AND(Prisberegner!$E$98=1,B35&gt;1),Prisberegner!$E$99,0)</f>
        <v>16853.079721056802</v>
      </c>
      <c r="E35" s="73">
        <f>IF(Prisberegner!$E$133="Ja",IF(B35&lt;Prisberegner!$E$147+1,Prisberegner!$E$149,IF(Prisberegner!E$152&gt;0,Prisberegner!E$154,Prisberegner!$E$149)),NA())</f>
        <v>16233.957711643825</v>
      </c>
      <c r="F35" s="73" t="e">
        <f>IF(Prisberegner!$E$158="Ja",IF(B35&lt;Prisberegner!$E$174+1,Prisberegner!$E$176,IF(Prisberegner!E$179&gt;0,Prisberegner!E$181,Prisberegner!$E$176)),NA())</f>
        <v>#N/A</v>
      </c>
      <c r="G35" s="182">
        <f t="shared" si="0"/>
        <v>12097.79355239166</v>
      </c>
      <c r="I35" s="198" t="e" cm="1" vm="2">
        <f t="array" aca="1" ref="I35:J38" ca="1">_xlfn._xlws.SORT(I29:J32,1,1)</f>
        <v>#NAME?</v>
      </c>
      <c r="J35" s="199" t="e" vm="2">
        <f ca="1"/>
        <v>#NAME?</v>
      </c>
    </row>
    <row r="36" spans="2:10" x14ac:dyDescent="0.25">
      <c r="B36" s="72">
        <v>30</v>
      </c>
      <c r="C36" s="73">
        <f>IF(B36&lt;Prisberegner!$E$50+1,Prisberegner!$E$47,IF(Prisberegner!$E$52&gt;0,Prisberegner!$E$55,Prisberegner!$E$47))</f>
        <v>28950.873273448462</v>
      </c>
      <c r="D36" s="169">
        <f>Prisberegner!$E$106+IF(B36&gt;Prisberegner!$E$92,-Prisberegner!$E$93,0)+IF(AND(B36&gt;Prisberegner!$E$98,Prisberegner!$E$102&gt;0),-(Prisberegner!$E$99-Prisberegner!$E$103),0)+IF(AND(Prisberegner!$D$82="Ja",'Tabel resultat'!B36&gt;Prisberegner!$E$83),-Prisberegner!$E$82*12,0)-IF(AND(Prisberegner!$E$98=1,B36&gt;1),Prisberegner!$E$99,0)</f>
        <v>16853.079721056802</v>
      </c>
      <c r="E36" s="73">
        <f>IF(Prisberegner!$E$133="Ja",IF(B36&lt;Prisberegner!$E$147+1,Prisberegner!$E$149,IF(Prisberegner!E$152&gt;0,Prisberegner!E$154,Prisberegner!$E$149)),NA())</f>
        <v>16233.957711643825</v>
      </c>
      <c r="F36" s="73" t="e">
        <f>IF(Prisberegner!$E$158="Ja",IF(B36&lt;Prisberegner!$E$174+1,Prisberegner!$E$176,IF(Prisberegner!E$179&gt;0,Prisberegner!E$181,Prisberegner!$E$176)),NA())</f>
        <v>#N/A</v>
      </c>
      <c r="G36" s="182">
        <f t="shared" si="0"/>
        <v>12097.79355239166</v>
      </c>
      <c r="I36" s="198" t="e" vm="2">
        <f ca="1"/>
        <v>#NAME?</v>
      </c>
      <c r="J36" s="199" t="e" vm="2">
        <f ca="1"/>
        <v>#NAME?</v>
      </c>
    </row>
    <row r="37" spans="2:10" x14ac:dyDescent="0.25">
      <c r="B37" s="72">
        <v>31</v>
      </c>
      <c r="C37" s="73">
        <f>IF(B37&lt;Prisberegner!$E$50+1,Prisberegner!$E$47,IF(Prisberegner!$E$52&gt;0,Prisberegner!$E$55,Prisberegner!$E$47))</f>
        <v>28950.873273448462</v>
      </c>
      <c r="D37" s="169">
        <f>Prisberegner!$E$106+IF(B37&gt;Prisberegner!$E$92,-Prisberegner!$E$93,0)+IF(AND(B37&gt;Prisberegner!$E$98,Prisberegner!$E$102&gt;0),-(Prisberegner!$E$99-Prisberegner!$E$103),0)+IF(AND(Prisberegner!$D$82="Ja",'Tabel resultat'!B37&gt;Prisberegner!$E$83),-Prisberegner!$E$82*12,0)-IF(AND(Prisberegner!$E$98=1,B37&gt;1),Prisberegner!$E$99,0)</f>
        <v>15577.598238050487</v>
      </c>
      <c r="E37" s="73">
        <f>IF(Prisberegner!$E$133="Ja",IF(B37&lt;Prisberegner!$E$147+1,Prisberegner!$E$149,IF(Prisberegner!E$152&gt;0,Prisberegner!E$154,Prisberegner!$E$149)),NA())</f>
        <v>16233.957711643825</v>
      </c>
      <c r="F37" s="73" t="e">
        <f>IF(Prisberegner!$E$158="Ja",IF(B37&lt;Prisberegner!$E$174+1,Prisberegner!$E$176,IF(Prisberegner!E$179&gt;0,Prisberegner!E$181,Prisberegner!$E$176)),NA())</f>
        <v>#N/A</v>
      </c>
      <c r="G37" s="182">
        <f t="shared" si="0"/>
        <v>13373.275035397975</v>
      </c>
      <c r="I37" s="198" t="e" vm="2">
        <f ca="1"/>
        <v>#NAME?</v>
      </c>
      <c r="J37" s="199" t="e" vm="2">
        <f ca="1"/>
        <v>#NAME?</v>
      </c>
    </row>
    <row r="38" spans="2:10" x14ac:dyDescent="0.25">
      <c r="B38" s="72">
        <v>32</v>
      </c>
      <c r="C38" s="73">
        <f>IF(B38&lt;Prisberegner!$E$50+1,Prisberegner!$E$47,IF(Prisberegner!$E$52&gt;0,Prisberegner!$E$55,Prisberegner!$E$47))</f>
        <v>28950.873273448462</v>
      </c>
      <c r="D38" s="169">
        <f>Prisberegner!$E$106+IF(B38&gt;Prisberegner!$E$92,-Prisberegner!$E$93,0)+IF(AND(B38&gt;Prisberegner!$E$98,Prisberegner!$E$102&gt;0),-(Prisberegner!$E$99-Prisberegner!$E$103),0)+IF(AND(Prisberegner!$D$82="Ja",'Tabel resultat'!B38&gt;Prisberegner!$E$83),-Prisberegner!$E$82*12,0)-IF(AND(Prisberegner!$E$98=1,B38&gt;1),Prisberegner!$E$99,0)</f>
        <v>15577.598238050487</v>
      </c>
      <c r="E38" s="73">
        <f>IF(Prisberegner!$E$133="Ja",IF(B38&lt;Prisberegner!$E$147+1,Prisberegner!$E$149,IF(Prisberegner!E$152&gt;0,Prisberegner!E$154,Prisberegner!$E$149)),NA())</f>
        <v>16233.957711643825</v>
      </c>
      <c r="F38" s="73" t="e">
        <f>IF(Prisberegner!$E$158="Ja",IF(B38&lt;Prisberegner!$E$174+1,Prisberegner!$E$176,IF(Prisberegner!E$179&gt;0,Prisberegner!E$181,Prisberegner!$E$176)),NA())</f>
        <v>#N/A</v>
      </c>
      <c r="G38" s="182">
        <f t="shared" si="0"/>
        <v>13373.275035397975</v>
      </c>
      <c r="I38" s="198" t="e" vm="2">
        <f ca="1"/>
        <v>#NAME?</v>
      </c>
      <c r="J38" s="200" t="e" vm="2">
        <f ca="1"/>
        <v>#NAME?</v>
      </c>
    </row>
    <row r="39" spans="2:10" x14ac:dyDescent="0.25">
      <c r="B39" s="72">
        <v>33</v>
      </c>
      <c r="C39" s="73">
        <f>IF(B39&lt;Prisberegner!$E$50+1,Prisberegner!$E$47,IF(Prisberegner!$E$52&gt;0,Prisberegner!$E$55,Prisberegner!$E$47))</f>
        <v>28950.873273448462</v>
      </c>
      <c r="D39" s="169">
        <f>Prisberegner!$E$106+IF(B39&gt;Prisberegner!$E$92,-Prisberegner!$E$93,0)+IF(AND(B39&gt;Prisberegner!$E$98,Prisberegner!$E$102&gt;0),-(Prisberegner!$E$99-Prisberegner!$E$103),0)+IF(AND(Prisberegner!$D$82="Ja",'Tabel resultat'!B39&gt;Prisberegner!$E$83),-Prisberegner!$E$82*12,0)-IF(AND(Prisberegner!$E$98=1,B39&gt;1),Prisberegner!$E$99,0)</f>
        <v>15577.598238050487</v>
      </c>
      <c r="E39" s="73">
        <f>IF(Prisberegner!$E$133="Ja",IF(B39&lt;Prisberegner!$E$147+1,Prisberegner!$E$149,IF(Prisberegner!E$152&gt;0,Prisberegner!E$154,Prisberegner!$E$149)),NA())</f>
        <v>16233.957711643825</v>
      </c>
      <c r="F39" s="73" t="e">
        <f>IF(Prisberegner!$E$158="Ja",IF(B39&lt;Prisberegner!$E$174+1,Prisberegner!$E$176,IF(Prisberegner!E$179&gt;0,Prisberegner!E$181,Prisberegner!$E$176)),NA())</f>
        <v>#N/A</v>
      </c>
      <c r="G39" s="182">
        <f t="shared" si="0"/>
        <v>13373.275035397975</v>
      </c>
      <c r="I39" s="201"/>
      <c r="J39" s="202"/>
    </row>
    <row r="40" spans="2:10" x14ac:dyDescent="0.25">
      <c r="B40" s="72">
        <v>34</v>
      </c>
      <c r="C40" s="73">
        <f>IF(B40&lt;Prisberegner!$E$50+1,Prisberegner!$E$47,IF(Prisberegner!$E$52&gt;0,Prisberegner!$E$55,Prisberegner!$E$47))</f>
        <v>28950.873273448462</v>
      </c>
      <c r="D40" s="169">
        <f>Prisberegner!$E$106+IF(B40&gt;Prisberegner!$E$92,-Prisberegner!$E$93,0)+IF(AND(B40&gt;Prisberegner!$E$98,Prisberegner!$E$102&gt;0),-(Prisberegner!$E$99-Prisberegner!$E$103),0)+IF(AND(Prisberegner!$D$82="Ja",'Tabel resultat'!B40&gt;Prisberegner!$E$83),-Prisberegner!$E$82*12,0)-IF(AND(Prisberegner!$E$98=1,B40&gt;1),Prisberegner!$E$99,0)</f>
        <v>15577.598238050487</v>
      </c>
      <c r="E40" s="73">
        <f>IF(Prisberegner!$E$133="Ja",IF(B40&lt;Prisberegner!$E$147+1,Prisberegner!$E$149,IF(Prisberegner!E$152&gt;0,Prisberegner!E$154,Prisberegner!$E$149)),NA())</f>
        <v>16233.957711643825</v>
      </c>
      <c r="F40" s="73" t="e">
        <f>IF(Prisberegner!$E$158="Ja",IF(B40&lt;Prisberegner!$E$174+1,Prisberegner!$E$176,IF(Prisberegner!E$179&gt;0,Prisberegner!E$181,Prisberegner!$E$176)),NA())</f>
        <v>#N/A</v>
      </c>
      <c r="G40" s="182">
        <f t="shared" si="0"/>
        <v>13373.275035397975</v>
      </c>
    </row>
    <row r="41" spans="2:10" x14ac:dyDescent="0.25">
      <c r="B41" s="72">
        <v>35</v>
      </c>
      <c r="C41" s="73">
        <f>IF(B41&lt;Prisberegner!$E$50+1,Prisberegner!$E$47,IF(Prisberegner!$E$52&gt;0,Prisberegner!$E$55,Prisberegner!$E$47))</f>
        <v>28950.873273448462</v>
      </c>
      <c r="D41" s="169">
        <f>Prisberegner!$E$106+IF(B41&gt;Prisberegner!$E$92,-Prisberegner!$E$93,0)+IF(AND(B41&gt;Prisberegner!$E$98,Prisberegner!$E$102&gt;0),-(Prisberegner!$E$99-Prisberegner!$E$103),0)+IF(AND(Prisberegner!$D$82="Ja",'Tabel resultat'!B41&gt;Prisberegner!$E$83),-Prisberegner!$E$82*12,0)-IF(AND(Prisberegner!$E$98=1,B41&gt;1),Prisberegner!$E$99,0)</f>
        <v>15577.598238050487</v>
      </c>
      <c r="E41" s="73">
        <f>IF(Prisberegner!$E$133="Ja",IF(B41&lt;Prisberegner!$E$147+1,Prisberegner!$E$149,IF(Prisberegner!E$152&gt;0,Prisberegner!E$154,Prisberegner!$E$149)),NA())</f>
        <v>16233.957711643825</v>
      </c>
      <c r="F41" s="73" t="e">
        <f>IF(Prisberegner!$E$158="Ja",IF(B41&lt;Prisberegner!$E$174+1,Prisberegner!$E$176,IF(Prisberegner!E$179&gt;0,Prisberegner!E$181,Prisberegner!$E$176)),NA())</f>
        <v>#N/A</v>
      </c>
      <c r="G41" s="182">
        <f t="shared" si="0"/>
        <v>13373.275035397975</v>
      </c>
    </row>
    <row r="42" spans="2:10" x14ac:dyDescent="0.25">
      <c r="B42" s="72">
        <v>36</v>
      </c>
      <c r="C42" s="73">
        <f>IF(B42&lt;Prisberegner!$E$50+1,Prisberegner!$E$47,IF(Prisberegner!$E$52&gt;0,Prisberegner!$E$55,Prisberegner!$E$47))</f>
        <v>28950.873273448462</v>
      </c>
      <c r="D42" s="169">
        <f>Prisberegner!$E$106+IF(B42&gt;Prisberegner!$E$92,-Prisberegner!$E$93,0)+IF(AND(B42&gt;Prisberegner!$E$98,Prisberegner!$E$102&gt;0),-(Prisberegner!$E$99-Prisberegner!$E$103),0)+IF(AND(Prisberegner!$D$82="Ja",'Tabel resultat'!B42&gt;Prisberegner!$E$83),-Prisberegner!$E$82*12,0)-IF(AND(Prisberegner!$E$98=1,B42&gt;1),Prisberegner!$E$99,0)</f>
        <v>15577.598238050487</v>
      </c>
      <c r="E42" s="73">
        <f>IF(Prisberegner!$E$133="Ja",IF(B42&lt;Prisberegner!$E$147+1,Prisberegner!$E$149,IF(Prisberegner!E$152&gt;0,Prisberegner!E$154,Prisberegner!$E$149)),NA())</f>
        <v>16233.957711643825</v>
      </c>
      <c r="F42" s="73" t="e">
        <f>IF(Prisberegner!$E$158="Ja",IF(B42&lt;Prisberegner!$E$174+1,Prisberegner!$E$176,IF(Prisberegner!E$179&gt;0,Prisberegner!E$181,Prisberegner!$E$176)),NA())</f>
        <v>#N/A</v>
      </c>
      <c r="G42" s="182">
        <f t="shared" si="0"/>
        <v>13373.275035397975</v>
      </c>
    </row>
    <row r="43" spans="2:10" x14ac:dyDescent="0.25">
      <c r="B43" s="72">
        <v>37</v>
      </c>
      <c r="C43" s="73">
        <f>IF(B43&lt;Prisberegner!$E$50+1,Prisberegner!$E$47,IF(Prisberegner!$E$52&gt;0,Prisberegner!$E$55,Prisberegner!$E$47))</f>
        <v>28950.873273448462</v>
      </c>
      <c r="D43" s="169">
        <f>Prisberegner!$E$106+IF(B43&gt;Prisberegner!$E$92,-Prisberegner!$E$93,0)+IF(AND(B43&gt;Prisberegner!$E$98,Prisberegner!$E$102&gt;0),-(Prisberegner!$E$99-Prisberegner!$E$103),0)+IF(AND(Prisberegner!$D$82="Ja",'Tabel resultat'!B43&gt;Prisberegner!$E$83),-Prisberegner!$E$82*12,0)-IF(AND(Prisberegner!$E$98=1,B43&gt;1),Prisberegner!$E$99,0)</f>
        <v>15577.598238050487</v>
      </c>
      <c r="E43" s="73">
        <f>IF(Prisberegner!$E$133="Ja",IF(B43&lt;Prisberegner!$E$147+1,Prisberegner!$E$149,IF(Prisberegner!E$152&gt;0,Prisberegner!E$154,Prisberegner!$E$149)),NA())</f>
        <v>16233.957711643825</v>
      </c>
      <c r="F43" s="73" t="e">
        <f>IF(Prisberegner!$E$158="Ja",IF(B43&lt;Prisberegner!$E$174+1,Prisberegner!$E$176,IF(Prisberegner!E$179&gt;0,Prisberegner!E$181,Prisberegner!$E$176)),NA())</f>
        <v>#N/A</v>
      </c>
      <c r="G43" s="182">
        <f t="shared" si="0"/>
        <v>13373.275035397975</v>
      </c>
    </row>
    <row r="44" spans="2:10" x14ac:dyDescent="0.25">
      <c r="B44" s="72">
        <v>38</v>
      </c>
      <c r="C44" s="73">
        <f>IF(B44&lt;Prisberegner!$E$50+1,Prisberegner!$E$47,IF(Prisberegner!$E$52&gt;0,Prisberegner!$E$55,Prisberegner!$E$47))</f>
        <v>28950.873273448462</v>
      </c>
      <c r="D44" s="169">
        <f>Prisberegner!$E$106+IF(B44&gt;Prisberegner!$E$92,-Prisberegner!$E$93,0)+IF(AND(B44&gt;Prisberegner!$E$98,Prisberegner!$E$102&gt;0),-(Prisberegner!$E$99-Prisberegner!$E$103),0)+IF(AND(Prisberegner!$D$82="Ja",'Tabel resultat'!B44&gt;Prisberegner!$E$83),-Prisberegner!$E$82*12,0)-IF(AND(Prisberegner!$E$98=1,B44&gt;1),Prisberegner!$E$99,0)</f>
        <v>15577.598238050487</v>
      </c>
      <c r="E44" s="73">
        <f>IF(Prisberegner!$E$133="Ja",IF(B44&lt;Prisberegner!$E$147+1,Prisberegner!$E$149,IF(Prisberegner!E$152&gt;0,Prisberegner!E$154,Prisberegner!$E$149)),NA())</f>
        <v>16233.957711643825</v>
      </c>
      <c r="F44" s="73" t="e">
        <f>IF(Prisberegner!$E$158="Ja",IF(B44&lt;Prisberegner!$E$174+1,Prisberegner!$E$176,IF(Prisberegner!E$179&gt;0,Prisberegner!E$181,Prisberegner!$E$176)),NA())</f>
        <v>#N/A</v>
      </c>
      <c r="G44" s="182">
        <f t="shared" si="0"/>
        <v>13373.275035397975</v>
      </c>
    </row>
    <row r="45" spans="2:10" x14ac:dyDescent="0.25">
      <c r="B45" s="72">
        <v>39</v>
      </c>
      <c r="C45" s="73">
        <f>IF(B45&lt;Prisberegner!$E$50+1,Prisberegner!$E$47,IF(Prisberegner!$E$52&gt;0,Prisberegner!$E$55,Prisberegner!$E$47))</f>
        <v>28950.873273448462</v>
      </c>
      <c r="D45" s="169">
        <f>Prisberegner!$E$106+IF(B45&gt;Prisberegner!$E$92,-Prisberegner!$E$93,0)+IF(AND(B45&gt;Prisberegner!$E$98,Prisberegner!$E$102&gt;0),-(Prisberegner!$E$99-Prisberegner!$E$103),0)+IF(AND(Prisberegner!$D$82="Ja",'Tabel resultat'!B45&gt;Prisberegner!$E$83),-Prisberegner!$E$82*12,0)-IF(AND(Prisberegner!$E$98=1,B45&gt;1),Prisberegner!$E$99,0)</f>
        <v>15577.598238050487</v>
      </c>
      <c r="E45" s="73">
        <f>IF(Prisberegner!$E$133="Ja",IF(B45&lt;Prisberegner!$E$147+1,Prisberegner!$E$149,IF(Prisberegner!E$152&gt;0,Prisberegner!E$154,Prisberegner!$E$149)),NA())</f>
        <v>16233.957711643825</v>
      </c>
      <c r="F45" s="73" t="e">
        <f>IF(Prisberegner!$E$158="Ja",IF(B45&lt;Prisberegner!$E$174+1,Prisberegner!$E$176,IF(Prisberegner!E$179&gt;0,Prisberegner!E$181,Prisberegner!$E$176)),NA())</f>
        <v>#N/A</v>
      </c>
      <c r="G45" s="182">
        <f t="shared" si="0"/>
        <v>13373.275035397975</v>
      </c>
    </row>
    <row r="46" spans="2:10" x14ac:dyDescent="0.25">
      <c r="B46" s="72">
        <v>40</v>
      </c>
      <c r="C46" s="73">
        <f>IF(B46&lt;Prisberegner!$E$50+1,Prisberegner!$E$47,IF(Prisberegner!$E$52&gt;0,Prisberegner!$E$55,Prisberegner!$E$47))</f>
        <v>28950.873273448462</v>
      </c>
      <c r="D46" s="169">
        <f>Prisberegner!$E$106+IF(B46&gt;Prisberegner!$E$92,-Prisberegner!$E$93,0)+IF(AND(B46&gt;Prisberegner!$E$98,Prisberegner!$E$102&gt;0),-(Prisberegner!$E$99-Prisberegner!$E$103),0)+IF(AND(Prisberegner!$D$82="Ja",'Tabel resultat'!B46&gt;Prisberegner!$E$83),-Prisberegner!$E$82*12,0)-IF(AND(Prisberegner!$E$98=1,B46&gt;1),Prisberegner!$E$99,0)</f>
        <v>15577.598238050487</v>
      </c>
      <c r="E46" s="73">
        <f>IF(Prisberegner!$E$133="Ja",IF(B46&lt;Prisberegner!$E$147+1,Prisberegner!$E$149,IF(Prisberegner!E$152&gt;0,Prisberegner!E$154,Prisberegner!$E$149)),NA())</f>
        <v>16233.957711643825</v>
      </c>
      <c r="F46" s="73" t="e">
        <f>IF(Prisberegner!$E$158="Ja",IF(B46&lt;Prisberegner!$E$174+1,Prisberegner!$E$176,IF(Prisberegner!E$179&gt;0,Prisberegner!E$181,Prisberegner!$E$176)),NA())</f>
        <v>#N/A</v>
      </c>
      <c r="G46" s="182">
        <f t="shared" si="0"/>
        <v>13373.275035397975</v>
      </c>
    </row>
    <row r="47" spans="2:10" x14ac:dyDescent="0.25">
      <c r="B47" s="72">
        <v>41</v>
      </c>
      <c r="C47" s="73">
        <f>IF(B47&lt;Prisberegner!$E$50+1,Prisberegner!$E$47,IF(Prisberegner!$E$52&gt;0,Prisberegner!$E$55,Prisberegner!$E$47))</f>
        <v>28950.873273448462</v>
      </c>
      <c r="D47" s="169">
        <f>Prisberegner!$E$106+IF(B47&gt;Prisberegner!$E$92,-Prisberegner!$E$93,0)+IF(AND(B47&gt;Prisberegner!$E$98,Prisberegner!$E$102&gt;0),-(Prisberegner!$E$99-Prisberegner!$E$103),0)+IF(AND(Prisberegner!$D$82="Ja",'Tabel resultat'!B47&gt;Prisberegner!$E$83),-Prisberegner!$E$82*12,0)-IF(AND(Prisberegner!$E$98=1,B47&gt;1),Prisberegner!$E$99,0)</f>
        <v>15577.598238050487</v>
      </c>
      <c r="E47" s="73">
        <f>IF(Prisberegner!$E$133="Ja",IF(B47&lt;Prisberegner!$E$147+1,Prisberegner!$E$149,IF(Prisberegner!E$152&gt;0,Prisberegner!E$154,Prisberegner!$E$149)),NA())</f>
        <v>16233.957711643825</v>
      </c>
      <c r="F47" s="73" t="e">
        <f>IF(Prisberegner!$E$158="Ja",IF(B47&lt;Prisberegner!$E$174+1,Prisberegner!$E$176,IF(Prisberegner!E$179&gt;0,Prisberegner!E$181,Prisberegner!$E$176)),NA())</f>
        <v>#N/A</v>
      </c>
      <c r="G47" s="182">
        <f t="shared" si="0"/>
        <v>13373.275035397975</v>
      </c>
    </row>
    <row r="48" spans="2:10" x14ac:dyDescent="0.25">
      <c r="B48" s="72">
        <v>42</v>
      </c>
      <c r="C48" s="73">
        <f>IF(B48&lt;Prisberegner!$E$50+1,Prisberegner!$E$47,IF(Prisberegner!$E$52&gt;0,Prisberegner!$E$55,Prisberegner!$E$47))</f>
        <v>28950.873273448462</v>
      </c>
      <c r="D48" s="169">
        <f>Prisberegner!$E$106+IF(B48&gt;Prisberegner!$E$92,-Prisberegner!$E$93,0)+IF(AND(B48&gt;Prisberegner!$E$98,Prisberegner!$E$102&gt;0),-(Prisberegner!$E$99-Prisberegner!$E$103),0)+IF(AND(Prisberegner!$D$82="Ja",'Tabel resultat'!B48&gt;Prisberegner!$E$83),-Prisberegner!$E$82*12,0)-IF(AND(Prisberegner!$E$98=1,B48&gt;1),Prisberegner!$E$99,0)</f>
        <v>15577.598238050487</v>
      </c>
      <c r="E48" s="73">
        <f>IF(Prisberegner!$E$133="Ja",IF(B48&lt;Prisberegner!$E$147+1,Prisberegner!$E$149,IF(Prisberegner!E$152&gt;0,Prisberegner!E$154,Prisberegner!$E$149)),NA())</f>
        <v>16233.957711643825</v>
      </c>
      <c r="F48" s="73" t="e">
        <f>IF(Prisberegner!$E$158="Ja",IF(B48&lt;Prisberegner!$E$174+1,Prisberegner!$E$176,IF(Prisberegner!E$179&gt;0,Prisberegner!E$181,Prisberegner!$E$176)),NA())</f>
        <v>#N/A</v>
      </c>
      <c r="G48" s="182">
        <f t="shared" si="0"/>
        <v>13373.275035397975</v>
      </c>
    </row>
    <row r="49" spans="2:7" x14ac:dyDescent="0.25">
      <c r="B49" s="72">
        <v>43</v>
      </c>
      <c r="C49" s="73">
        <f>IF(B49&lt;Prisberegner!$E$50+1,Prisberegner!$E$47,IF(Prisberegner!$E$52&gt;0,Prisberegner!$E$55,Prisberegner!$E$47))</f>
        <v>28950.873273448462</v>
      </c>
      <c r="D49" s="169">
        <f>Prisberegner!$E$106+IF(B49&gt;Prisberegner!$E$92,-Prisberegner!$E$93,0)+IF(AND(B49&gt;Prisberegner!$E$98,Prisberegner!$E$102&gt;0),-(Prisberegner!$E$99-Prisberegner!$E$103),0)+IF(AND(Prisberegner!$D$82="Ja",'Tabel resultat'!B49&gt;Prisberegner!$E$83),-Prisberegner!$E$82*12,0)-IF(AND(Prisberegner!$E$98=1,B49&gt;1),Prisberegner!$E$99,0)</f>
        <v>15577.598238050487</v>
      </c>
      <c r="E49" s="73">
        <f>IF(Prisberegner!$E$133="Ja",IF(B49&lt;Prisberegner!$E$147+1,Prisberegner!$E$149,IF(Prisberegner!E$152&gt;0,Prisberegner!E$154,Prisberegner!$E$149)),NA())</f>
        <v>16233.957711643825</v>
      </c>
      <c r="F49" s="73" t="e">
        <f>IF(Prisberegner!$E$158="Ja",IF(B49&lt;Prisberegner!$E$174+1,Prisberegner!$E$176,IF(Prisberegner!E$179&gt;0,Prisberegner!E$181,Prisberegner!$E$176)),NA())</f>
        <v>#N/A</v>
      </c>
      <c r="G49" s="182">
        <f t="shared" si="0"/>
        <v>13373.275035397975</v>
      </c>
    </row>
    <row r="50" spans="2:7" x14ac:dyDescent="0.25">
      <c r="B50" s="72">
        <v>44</v>
      </c>
      <c r="C50" s="73">
        <f>IF(B50&lt;Prisberegner!$E$50+1,Prisberegner!$E$47,IF(Prisberegner!$E$52&gt;0,Prisberegner!$E$55,Prisberegner!$E$47))</f>
        <v>28950.873273448462</v>
      </c>
      <c r="D50" s="169">
        <f>Prisberegner!$E$106+IF(B50&gt;Prisberegner!$E$92,-Prisberegner!$E$93,0)+IF(AND(B50&gt;Prisberegner!$E$98,Prisberegner!$E$102&gt;0),-(Prisberegner!$E$99-Prisberegner!$E$103),0)+IF(AND(Prisberegner!$D$82="Ja",'Tabel resultat'!B50&gt;Prisberegner!$E$83),-Prisberegner!$E$82*12,0)-IF(AND(Prisberegner!$E$98=1,B50&gt;1),Prisberegner!$E$99,0)</f>
        <v>15577.598238050487</v>
      </c>
      <c r="E50" s="73">
        <f>IF(Prisberegner!$E$133="Ja",IF(B50&lt;Prisberegner!$E$147+1,Prisberegner!$E$149,IF(Prisberegner!E$152&gt;0,Prisberegner!E$154,Prisberegner!$E$149)),NA())</f>
        <v>16233.957711643825</v>
      </c>
      <c r="F50" s="73" t="e">
        <f>IF(Prisberegner!$E$158="Ja",IF(B50&lt;Prisberegner!$E$174+1,Prisberegner!$E$176,IF(Prisberegner!E$179&gt;0,Prisberegner!E$181,Prisberegner!$E$176)),NA())</f>
        <v>#N/A</v>
      </c>
      <c r="G50" s="182">
        <f t="shared" si="0"/>
        <v>13373.275035397975</v>
      </c>
    </row>
    <row r="51" spans="2:7" x14ac:dyDescent="0.25">
      <c r="B51" s="72">
        <v>45</v>
      </c>
      <c r="C51" s="73">
        <f>IF(B51&lt;Prisberegner!$E$50+1,Prisberegner!$E$47,IF(Prisberegner!$E$52&gt;0,Prisberegner!$E$55,Prisberegner!$E$47))</f>
        <v>28950.873273448462</v>
      </c>
      <c r="D51" s="169">
        <f>Prisberegner!$E$106+IF(B51&gt;Prisberegner!$E$92,-Prisberegner!$E$93,0)+IF(AND(B51&gt;Prisberegner!$E$98,Prisberegner!$E$102&gt;0),-(Prisberegner!$E$99-Prisberegner!$E$103),0)+IF(AND(Prisberegner!$D$82="Ja",'Tabel resultat'!B51&gt;Prisberegner!$E$83),-Prisberegner!$E$82*12,0)-IF(AND(Prisberegner!$E$98=1,B51&gt;1),Prisberegner!$E$99,0)</f>
        <v>15577.598238050487</v>
      </c>
      <c r="E51" s="73">
        <f>IF(Prisberegner!$E$133="Ja",IF(B51&lt;Prisberegner!$E$147+1,Prisberegner!$E$149,IF(Prisberegner!E$152&gt;0,Prisberegner!E$154,Prisberegner!$E$149)),NA())</f>
        <v>16233.957711643825</v>
      </c>
      <c r="F51" s="73" t="e">
        <f>IF(Prisberegner!$E$158="Ja",IF(B51&lt;Prisberegner!$E$174+1,Prisberegner!$E$176,IF(Prisberegner!E$179&gt;0,Prisberegner!E$181,Prisberegner!$E$176)),NA())</f>
        <v>#N/A</v>
      </c>
      <c r="G51" s="182">
        <f t="shared" si="0"/>
        <v>13373.275035397975</v>
      </c>
    </row>
    <row r="52" spans="2:7" x14ac:dyDescent="0.25">
      <c r="B52" s="72">
        <v>46</v>
      </c>
      <c r="C52" s="73">
        <f>IF(B52&lt;Prisberegner!$E$50+1,Prisberegner!$E$47,IF(Prisberegner!$E$52&gt;0,Prisberegner!$E$55,Prisberegner!$E$47))</f>
        <v>28950.873273448462</v>
      </c>
      <c r="D52" s="169">
        <f>Prisberegner!$E$106+IF(B52&gt;Prisberegner!$E$92,-Prisberegner!$E$93,0)+IF(AND(B52&gt;Prisberegner!$E$98,Prisberegner!$E$102&gt;0),-(Prisberegner!$E$99-Prisberegner!$E$103),0)+IF(AND(Prisberegner!$D$82="Ja",'Tabel resultat'!B52&gt;Prisberegner!$E$83),-Prisberegner!$E$82*12,0)-IF(AND(Prisberegner!$E$98=1,B52&gt;1),Prisberegner!$E$99,0)</f>
        <v>15577.598238050487</v>
      </c>
      <c r="E52" s="73">
        <f>IF(Prisberegner!$E$133="Ja",IF(B52&lt;Prisberegner!$E$147+1,Prisberegner!$E$149,IF(Prisberegner!E$152&gt;0,Prisberegner!E$154,Prisberegner!$E$149)),NA())</f>
        <v>16233.957711643825</v>
      </c>
      <c r="F52" s="73" t="e">
        <f>IF(Prisberegner!$E$158="Ja",IF(B52&lt;Prisberegner!$E$174+1,Prisberegner!$E$176,IF(Prisberegner!E$179&gt;0,Prisberegner!E$181,Prisberegner!$E$176)),NA())</f>
        <v>#N/A</v>
      </c>
      <c r="G52" s="182">
        <f t="shared" si="0"/>
        <v>13373.275035397975</v>
      </c>
    </row>
    <row r="53" spans="2:7" x14ac:dyDescent="0.25">
      <c r="B53" s="72">
        <v>47</v>
      </c>
      <c r="C53" s="73">
        <f>IF(B53&lt;Prisberegner!$E$50+1,Prisberegner!$E$47,IF(Prisberegner!$E$52&gt;0,Prisberegner!$E$55,Prisberegner!$E$47))</f>
        <v>28950.873273448462</v>
      </c>
      <c r="D53" s="169">
        <f>Prisberegner!$E$106+IF(B53&gt;Prisberegner!$E$92,-Prisberegner!$E$93,0)+IF(AND(B53&gt;Prisberegner!$E$98,Prisberegner!$E$102&gt;0),-(Prisberegner!$E$99-Prisberegner!$E$103),0)+IF(AND(Prisberegner!$D$82="Ja",'Tabel resultat'!B53&gt;Prisberegner!$E$83),-Prisberegner!$E$82*12,0)-IF(AND(Prisberegner!$E$98=1,B53&gt;1),Prisberegner!$E$99,0)</f>
        <v>15577.598238050487</v>
      </c>
      <c r="E53" s="73">
        <f>IF(Prisberegner!$E$133="Ja",IF(B53&lt;Prisberegner!$E$147+1,Prisberegner!$E$149,IF(Prisberegner!E$152&gt;0,Prisberegner!E$154,Prisberegner!$E$149)),NA())</f>
        <v>16233.957711643825</v>
      </c>
      <c r="F53" s="73" t="e">
        <f>IF(Prisberegner!$E$158="Ja",IF(B53&lt;Prisberegner!$E$174+1,Prisberegner!$E$176,IF(Prisberegner!E$179&gt;0,Prisberegner!E$181,Prisberegner!$E$176)),NA())</f>
        <v>#N/A</v>
      </c>
      <c r="G53" s="182">
        <f t="shared" si="0"/>
        <v>13373.275035397975</v>
      </c>
    </row>
    <row r="54" spans="2:7" x14ac:dyDescent="0.25">
      <c r="B54" s="72">
        <v>48</v>
      </c>
      <c r="C54" s="73">
        <f>IF(B54&lt;Prisberegner!$E$50+1,Prisberegner!$E$47,IF(Prisberegner!$E$52&gt;0,Prisberegner!$E$55,Prisberegner!$E$47))</f>
        <v>28950.873273448462</v>
      </c>
      <c r="D54" s="169">
        <f>Prisberegner!$E$106+IF(B54&gt;Prisberegner!$E$92,-Prisberegner!$E$93,0)+IF(AND(B54&gt;Prisberegner!$E$98,Prisberegner!$E$102&gt;0),-(Prisberegner!$E$99-Prisberegner!$E$103),0)+IF(AND(Prisberegner!$D$82="Ja",'Tabel resultat'!B54&gt;Prisberegner!$E$83),-Prisberegner!$E$82*12,0)-IF(AND(Prisberegner!$E$98=1,B54&gt;1),Prisberegner!$E$99,0)</f>
        <v>15577.598238050487</v>
      </c>
      <c r="E54" s="73">
        <f>IF(Prisberegner!$E$133="Ja",IF(B54&lt;Prisberegner!$E$147+1,Prisberegner!$E$149,IF(Prisberegner!E$152&gt;0,Prisberegner!E$154,Prisberegner!$E$149)),NA())</f>
        <v>16233.957711643825</v>
      </c>
      <c r="F54" s="73" t="e">
        <f>IF(Prisberegner!$E$158="Ja",IF(B54&lt;Prisberegner!$E$174+1,Prisberegner!$E$176,IF(Prisberegner!E$179&gt;0,Prisberegner!E$181,Prisberegner!$E$176)),NA())</f>
        <v>#N/A</v>
      </c>
      <c r="G54" s="182">
        <f t="shared" si="0"/>
        <v>13373.275035397975</v>
      </c>
    </row>
    <row r="55" spans="2:7" x14ac:dyDescent="0.25">
      <c r="B55" s="72">
        <v>49</v>
      </c>
      <c r="C55" s="73">
        <f>IF(B55&lt;Prisberegner!$E$50+1,Prisberegner!$E$47,IF(Prisberegner!$E$52&gt;0,Prisberegner!$E$55,Prisberegner!$E$47))</f>
        <v>28950.873273448462</v>
      </c>
      <c r="D55" s="169">
        <f>Prisberegner!$E$106+IF(B55&gt;Prisberegner!$E$92,-Prisberegner!$E$93,0)+IF(AND(B55&gt;Prisberegner!$E$98,Prisberegner!$E$102&gt;0),-(Prisberegner!$E$99-Prisberegner!$E$103),0)+IF(AND(Prisberegner!$D$82="Ja",'Tabel resultat'!B55&gt;Prisberegner!$E$83),-Prisberegner!$E$82*12,0)-IF(AND(Prisberegner!$E$98=1,B55&gt;1),Prisberegner!$E$99,0)</f>
        <v>15577.598238050487</v>
      </c>
      <c r="E55" s="73">
        <f>IF(Prisberegner!$E$133="Ja",IF(B55&lt;Prisberegner!$E$147+1,Prisberegner!$E$149,IF(Prisberegner!E$152&gt;0,Prisberegner!E$154,Prisberegner!$E$149)),NA())</f>
        <v>16233.957711643825</v>
      </c>
      <c r="F55" s="73" t="e">
        <f>IF(Prisberegner!$E$158="Ja",IF(B55&lt;Prisberegner!$E$174+1,Prisberegner!$E$176,IF(Prisberegner!E$179&gt;0,Prisberegner!E$181,Prisberegner!$E$176)),NA())</f>
        <v>#N/A</v>
      </c>
      <c r="G55" s="182">
        <f t="shared" si="0"/>
        <v>13373.275035397975</v>
      </c>
    </row>
    <row r="56" spans="2:7" x14ac:dyDescent="0.25">
      <c r="B56" s="72">
        <v>50</v>
      </c>
      <c r="C56" s="73">
        <f>IF(B56&lt;Prisberegner!$E$50+1,Prisberegner!$E$47,IF(Prisberegner!$E$52&gt;0,Prisberegner!$E$55,Prisberegner!$E$47))</f>
        <v>28950.873273448462</v>
      </c>
      <c r="D56" s="169">
        <f>Prisberegner!$E$106+IF(B56&gt;Prisberegner!$E$92,-Prisberegner!$E$93,0)+IF(AND(B56&gt;Prisberegner!$E$98,Prisberegner!$E$102&gt;0),-(Prisberegner!$E$99-Prisberegner!$E$103),0)+IF(AND(Prisberegner!$D$82="Ja",'Tabel resultat'!B56&gt;Prisberegner!$E$83),-Prisberegner!$E$82*12,0)-IF(AND(Prisberegner!$E$98=1,B56&gt;1),Prisberegner!$E$99,0)</f>
        <v>15577.598238050487</v>
      </c>
      <c r="E56" s="73">
        <f>IF(Prisberegner!$E$133="Ja",IF(B56&lt;Prisberegner!$E$147+1,Prisberegner!$E$149,IF(Prisberegner!E$152&gt;0,Prisberegner!E$154,Prisberegner!$E$149)),NA())</f>
        <v>16233.957711643825</v>
      </c>
      <c r="F56" s="73" t="e">
        <f>IF(Prisberegner!$E$158="Ja",IF(B56&lt;Prisberegner!$E$174+1,Prisberegner!$E$176,IF(Prisberegner!E$179&gt;0,Prisberegner!E$181,Prisberegner!$E$176)),NA())</f>
        <v>#N/A</v>
      </c>
      <c r="G56" s="182">
        <f t="shared" si="0"/>
        <v>13373.275035397975</v>
      </c>
    </row>
    <row r="57" spans="2:7" x14ac:dyDescent="0.25">
      <c r="E57" s="72"/>
      <c r="F57" s="72"/>
    </row>
    <row r="58" spans="2:7" x14ac:dyDescent="0.25">
      <c r="B58" s="65" t="s">
        <v>48</v>
      </c>
      <c r="C58" s="79">
        <f>SUM(C7:C56)</f>
        <v>1439141.7002228163</v>
      </c>
      <c r="D58" s="79">
        <f>SUM(D7:D56)</f>
        <v>850752.21019114309</v>
      </c>
      <c r="E58" s="79">
        <f t="shared" ref="E58:F58" si="1">SUM(E7:E56)</f>
        <v>855635.43879387947</v>
      </c>
      <c r="F58" s="79" t="e">
        <f t="shared" si="1"/>
        <v>#N/A</v>
      </c>
    </row>
    <row r="60" spans="2:7" x14ac:dyDescent="0.25">
      <c r="C60" s="77" t="s">
        <v>56</v>
      </c>
      <c r="D60" s="77" t="s">
        <v>56</v>
      </c>
      <c r="E60" s="77" t="s">
        <v>56</v>
      </c>
      <c r="F60" s="77" t="s">
        <v>56</v>
      </c>
    </row>
    <row r="61" spans="2:7" x14ac:dyDescent="0.25">
      <c r="C61" s="73">
        <f>C58/(50*12)</f>
        <v>2398.5695003713604</v>
      </c>
      <c r="D61" s="73">
        <f>D58/(50*12)</f>
        <v>1417.9203503185718</v>
      </c>
      <c r="E61" s="73">
        <f>E58/(50*12)</f>
        <v>1426.0590646564658</v>
      </c>
      <c r="F61" s="73"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8C036926D31249BCE9D7378F2D74F2" ma:contentTypeVersion="12" ma:contentTypeDescription="Opret et nyt dokument." ma:contentTypeScope="" ma:versionID="a936bcafa26c2ccbf63394113733b605">
  <xsd:schema xmlns:xsd="http://www.w3.org/2001/XMLSchema" xmlns:xs="http://www.w3.org/2001/XMLSchema" xmlns:p="http://schemas.microsoft.com/office/2006/metadata/properties" xmlns:ns2="fa83728a-0f9d-4981-a83c-3da040652bf4" xmlns:ns3="a91b7dd8-077f-4453-9438-4210714d1ab6" targetNamespace="http://schemas.microsoft.com/office/2006/metadata/properties" ma:root="true" ma:fieldsID="4c7e1240e6f46f1cb559d776ab65bcae" ns2:_="" ns3:_="">
    <xsd:import namespace="fa83728a-0f9d-4981-a83c-3da040652bf4"/>
    <xsd:import namespace="a91b7dd8-077f-4453-9438-4210714d1ab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83728a-0f9d-4981-a83c-3da040652b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b7dd8-077f-4453-9438-4210714d1ab6" elementFormDefault="qualified">
    <xsd:import namespace="http://schemas.microsoft.com/office/2006/documentManagement/types"/>
    <xsd:import namespace="http://schemas.microsoft.com/office/infopath/2007/PartnerControls"/>
    <xsd:element name="SharedWithUsers" ma:index="14"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t med 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020C63-2B01-4514-B9BE-6EF1D4485EE2}">
  <ds:schemaRefs>
    <ds:schemaRef ds:uri="http://purl.org/dc/terms/"/>
    <ds:schemaRef ds:uri="http://schemas.openxmlformats.org/package/2006/metadata/core-properties"/>
    <ds:schemaRef ds:uri="http://purl.org/dc/dcmitype/"/>
    <ds:schemaRef ds:uri="fa83728a-0f9d-4981-a83c-3da040652bf4"/>
    <ds:schemaRef ds:uri="http://purl.org/dc/elements/1.1/"/>
    <ds:schemaRef ds:uri="http://schemas.microsoft.com/office/2006/metadata/properties"/>
    <ds:schemaRef ds:uri="http://schemas.microsoft.com/office/2006/documentManagement/types"/>
    <ds:schemaRef ds:uri="http://schemas.microsoft.com/office/infopath/2007/PartnerControls"/>
    <ds:schemaRef ds:uri="a91b7dd8-077f-4453-9438-4210714d1ab6"/>
    <ds:schemaRef ds:uri="http://www.w3.org/XML/1998/namespace"/>
  </ds:schemaRefs>
</ds:datastoreItem>
</file>

<file path=customXml/itemProps2.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3.xml><?xml version="1.0" encoding="utf-8"?>
<ds:datastoreItem xmlns:ds="http://schemas.openxmlformats.org/officeDocument/2006/customXml" ds:itemID="{900B0986-AE28-4634-B323-6E128307EF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83728a-0f9d-4981-a83c-3da040652bf4"/>
    <ds:schemaRef ds:uri="a91b7dd8-077f-4453-9438-4210714d1a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Flemming Sørensen</cp:lastModifiedBy>
  <cp:lastPrinted>2021-04-14T09:38:36Z</cp:lastPrinted>
  <dcterms:created xsi:type="dcterms:W3CDTF">2014-02-23T12:10:08Z</dcterms:created>
  <dcterms:modified xsi:type="dcterms:W3CDTF">2022-04-08T06:56:12Z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0x010100028C036926D31249BCE9D7378F2D74F2</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ies>
</file>